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txst-my.sharepoint.com/personal/ag1461_txstate_edu/Documents/Desktop/LAR Workshop Files/"/>
    </mc:Choice>
  </mc:AlternateContent>
  <xr:revisionPtr revIDLastSave="0" documentId="8_{46E36304-8F0B-4CDC-BFAC-D02E0FD588E5}" xr6:coauthVersionLast="47" xr6:coauthVersionMax="47" xr10:uidLastSave="{00000000-0000-0000-0000-000000000000}"/>
  <bookViews>
    <workbookView xWindow="1590" yWindow="2280" windowWidth="25530" windowHeight="15405" activeTab="1" xr2:uid="{00000000-000D-0000-FFFF-FFFF00000000}"/>
  </bookViews>
  <sheets>
    <sheet name="GAI" sheetId="1" r:id="rId1"/>
    <sheet name="HRI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5" l="1"/>
  <c r="K17" i="5" s="1"/>
  <c r="K15" i="5"/>
  <c r="K14" i="5"/>
  <c r="K12" i="5"/>
  <c r="K11" i="5"/>
  <c r="K10" i="5"/>
  <c r="K9" i="5"/>
  <c r="L17" i="5"/>
  <c r="L16" i="5"/>
  <c r="L15" i="5"/>
  <c r="L13" i="5"/>
  <c r="L12" i="5"/>
  <c r="L11" i="5"/>
  <c r="L10" i="5"/>
  <c r="L9" i="5"/>
  <c r="B67" i="1" l="1"/>
  <c r="B68" i="1"/>
  <c r="B66" i="1"/>
  <c r="B65" i="1"/>
  <c r="B64" i="1"/>
  <c r="B63" i="1"/>
  <c r="B62" i="1"/>
  <c r="C65" i="1"/>
  <c r="C69" i="1"/>
  <c r="C68" i="1"/>
  <c r="C66" i="1"/>
  <c r="C64" i="1"/>
  <c r="C63" i="1"/>
  <c r="C62" i="1"/>
  <c r="B69" i="1" l="1"/>
  <c r="C42" i="5"/>
  <c r="C41" i="5"/>
  <c r="C40" i="5"/>
  <c r="C39" i="5"/>
  <c r="C38" i="5"/>
  <c r="B42" i="5"/>
  <c r="B41" i="5"/>
  <c r="B39" i="5"/>
  <c r="B40" i="5"/>
  <c r="B38" i="5"/>
  <c r="C35" i="5"/>
  <c r="B35" i="5"/>
  <c r="D34" i="5"/>
  <c r="D33" i="5"/>
  <c r="C28" i="5"/>
  <c r="C27" i="5"/>
  <c r="C25" i="5"/>
  <c r="C26" i="5"/>
  <c r="C24" i="5"/>
  <c r="B28" i="5"/>
  <c r="B27" i="5"/>
  <c r="B26" i="5"/>
  <c r="B25" i="5"/>
  <c r="B24" i="5"/>
  <c r="C21" i="5"/>
  <c r="B21" i="5"/>
  <c r="D20" i="5"/>
  <c r="C14" i="5"/>
  <c r="C13" i="5"/>
  <c r="C12" i="5"/>
  <c r="C11" i="5"/>
  <c r="C10" i="5"/>
  <c r="B11" i="5"/>
  <c r="B14" i="5"/>
  <c r="B13" i="5"/>
  <c r="B12" i="5"/>
  <c r="B10" i="5"/>
  <c r="C7" i="5"/>
  <c r="B7" i="5"/>
  <c r="D6" i="5"/>
  <c r="D5" i="5"/>
  <c r="B30" i="5" l="1"/>
  <c r="D35" i="5"/>
  <c r="E33" i="5" s="1"/>
  <c r="B44" i="5"/>
  <c r="C44" i="5"/>
  <c r="C16" i="5"/>
  <c r="C30" i="5"/>
  <c r="B16" i="5"/>
  <c r="D7" i="5"/>
  <c r="D44" i="5" l="1"/>
  <c r="E5" i="5"/>
  <c r="G5" i="5" s="1"/>
  <c r="D19" i="5"/>
  <c r="D16" i="5"/>
  <c r="G33" i="5"/>
  <c r="D30" i="5"/>
  <c r="D21" i="5" l="1"/>
  <c r="E19" i="5" l="1"/>
  <c r="G19" i="5" s="1"/>
  <c r="C17" i="1" l="1"/>
  <c r="B13" i="1"/>
  <c r="B22" i="1"/>
  <c r="B21" i="1"/>
  <c r="B19" i="1"/>
  <c r="B18" i="1"/>
  <c r="B17" i="1"/>
  <c r="B15" i="1"/>
  <c r="B14" i="1"/>
  <c r="B23" i="1" l="1"/>
  <c r="C4" i="1"/>
  <c r="B4" i="1"/>
  <c r="C22" i="1"/>
  <c r="C21" i="1"/>
  <c r="C19" i="1"/>
  <c r="C18" i="1"/>
  <c r="C15" i="1"/>
  <c r="C14" i="1"/>
  <c r="C13" i="1"/>
  <c r="C23" i="1" s="1"/>
  <c r="D23" i="1" s="1"/>
  <c r="D4" i="1" l="1"/>
  <c r="E4" i="1" s="1"/>
  <c r="G4" i="1" s="1"/>
</calcChain>
</file>

<file path=xl/sharedStrings.xml><?xml version="1.0" encoding="utf-8"?>
<sst xmlns="http://schemas.openxmlformats.org/spreadsheetml/2006/main" count="100" uniqueCount="56">
  <si>
    <t>Diff</t>
  </si>
  <si>
    <t>SAO 2018 4th Qtr Average</t>
  </si>
  <si>
    <t>NEW FTE Cap</t>
  </si>
  <si>
    <r>
      <rPr>
        <b/>
        <sz val="14"/>
        <color theme="1"/>
        <rFont val="Calibri"/>
        <family val="2"/>
        <scheme val="minor"/>
      </rPr>
      <t>LBB FTE Cap Calculation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Source Documents:  Final MOF files for each biennium, State Auditor's office website FTE reporting of average annual FTE's for prior year reported.   
http://www.sao.texas.gov/SAOReports/ReportNumber?id=20-702</t>
    </r>
  </si>
  <si>
    <t xml:space="preserve">18-19 Appropriations </t>
  </si>
  <si>
    <t xml:space="preserve">20-21 Appropriations </t>
  </si>
  <si>
    <t xml:space="preserve">     Operations Support</t>
  </si>
  <si>
    <t xml:space="preserve">    +Teaching Experience Supplement</t>
  </si>
  <si>
    <t xml:space="preserve">    +Educational and General Space Support</t>
  </si>
  <si>
    <t xml:space="preserve">Formula is GR plus 770:   </t>
  </si>
  <si>
    <t>Do NOT include Board Authorized Tuition</t>
  </si>
  <si>
    <t>GR and 770 Formula plus Non-Formula plus Small Institution Supplement</t>
  </si>
  <si>
    <t xml:space="preserve">GR </t>
  </si>
  <si>
    <t>Operations Support</t>
  </si>
  <si>
    <t>Teaching Experience</t>
  </si>
  <si>
    <t>Educational and General Space Support</t>
  </si>
  <si>
    <t>770</t>
  </si>
  <si>
    <t>Or, example below:</t>
  </si>
  <si>
    <t>Non Formula, Goal 3</t>
  </si>
  <si>
    <t>Grand Total</t>
  </si>
  <si>
    <t>MOF example:</t>
  </si>
  <si>
    <t>Small Institution Supplement</t>
  </si>
  <si>
    <t xml:space="preserve">INPUT </t>
  </si>
  <si>
    <t>LBB Calculated adjustment, per $100,000</t>
  </si>
  <si>
    <t>LBB Calculated adjustment, per $250,000</t>
  </si>
  <si>
    <t>Schedule 7 2018 Directly Appropriated FTEs</t>
  </si>
  <si>
    <t>LBB FTE Cap Calculation for Health Related Institutions</t>
  </si>
  <si>
    <t>UT MD Anderson Cancer Center</t>
  </si>
  <si>
    <t>UT Southwestern</t>
  </si>
  <si>
    <t>UTMB Galveston</t>
  </si>
  <si>
    <t>Total</t>
  </si>
  <si>
    <t>General Revenue (less TRBs)</t>
  </si>
  <si>
    <t>GRD 770 Formula Funding</t>
  </si>
  <si>
    <t>FTE Change $$ Rate</t>
  </si>
  <si>
    <t>GR MOF Total</t>
  </si>
  <si>
    <t>Less TRBs</t>
  </si>
  <si>
    <t>GRD 770 MOF Total</t>
  </si>
  <si>
    <t>Less SGI</t>
  </si>
  <si>
    <t>Less TPEG</t>
  </si>
  <si>
    <t>Operations Support Strategy</t>
  </si>
  <si>
    <t>Teaching Experience Supplement Strategy</t>
  </si>
  <si>
    <t>E&amp;G Space Support Strategy</t>
  </si>
  <si>
    <t>Non-Formula Goal</t>
  </si>
  <si>
    <t>Less Board Authorized Tuition</t>
  </si>
  <si>
    <t>SIS</t>
  </si>
  <si>
    <t>Hold Harmless</t>
  </si>
  <si>
    <t>Alternative</t>
  </si>
  <si>
    <t>I&amp;O Formula Strategies</t>
  </si>
  <si>
    <t>GME Formula</t>
  </si>
  <si>
    <t>Research Enhancement</t>
  </si>
  <si>
    <t>E&amp;G Formula</t>
  </si>
  <si>
    <t>Mission Specific</t>
  </si>
  <si>
    <t>Non-Formula Support</t>
  </si>
  <si>
    <t>Less GRD 704</t>
  </si>
  <si>
    <t>2020-21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</si>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</sst>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_);_(* \(#,##0.000\);_(* &quot;-&quot;??_);_(@_)"/>
    <numFmt numFmtId="167" formatCode="_(&quot;$&quot;* #,##0_);_(&quot;$&quot;* \(#,##0\);_(&quot;$&quot;* &quot;-&quot;??_);_(@_)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center" wrapText="1"/>
    </xf>
    <xf numFmtId="164" fontId="0" fillId="0" borderId="0" xfId="0" applyNumberFormat="1"/>
    <xf numFmtId="43" fontId="0" fillId="0" borderId="0" xfId="0" applyNumberFormat="1"/>
    <xf numFmtId="166" fontId="0" fillId="0" borderId="0" xfId="0" applyNumberFormat="1"/>
    <xf numFmtId="165" fontId="0" fillId="0" borderId="0" xfId="0" applyNumberFormat="1"/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7" fontId="0" fillId="0" borderId="0" xfId="1" applyNumberFormat="1" applyFont="1"/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167" fontId="0" fillId="0" borderId="0" xfId="0" applyNumberFormat="1"/>
    <xf numFmtId="0" fontId="0" fillId="0" borderId="0" xfId="0" quotePrefix="1"/>
    <xf numFmtId="0" fontId="6" fillId="0" borderId="0" xfId="0" applyFont="1"/>
    <xf numFmtId="0" fontId="6" fillId="0" borderId="0" xfId="0" quotePrefix="1" applyFont="1"/>
    <xf numFmtId="168" fontId="0" fillId="0" borderId="0" xfId="0" applyNumberFormat="1" applyAlignment="1">
      <alignment horizontal="center"/>
    </xf>
    <xf numFmtId="168" fontId="2" fillId="0" borderId="0" xfId="0" applyNumberFormat="1" applyFont="1" applyAlignment="1">
      <alignment horizontal="center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/>
    </xf>
    <xf numFmtId="167" fontId="2" fillId="0" borderId="0" xfId="1" applyNumberFormat="1" applyFont="1"/>
    <xf numFmtId="0" fontId="7" fillId="2" borderId="0" xfId="0" applyFont="1" applyFill="1" applyAlignment="1">
      <alignment horizontal="center"/>
    </xf>
    <xf numFmtId="167" fontId="3" fillId="2" borderId="0" xfId="1" applyNumberFormat="1" applyFont="1" applyFill="1" applyBorder="1"/>
    <xf numFmtId="167" fontId="3" fillId="2" borderId="0" xfId="1" applyNumberFormat="1" applyFont="1" applyFill="1"/>
    <xf numFmtId="0" fontId="3" fillId="2" borderId="0" xfId="0" applyFont="1" applyFill="1" applyAlignment="1">
      <alignment horizontal="center"/>
    </xf>
    <xf numFmtId="43" fontId="0" fillId="0" borderId="0" xfId="2" applyFont="1"/>
    <xf numFmtId="164" fontId="0" fillId="0" borderId="0" xfId="2" applyNumberFormat="1" applyFont="1"/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3" fillId="0" borderId="0" xfId="1" applyNumberFormat="1" applyFont="1" applyFill="1" applyBorder="1"/>
    <xf numFmtId="167" fontId="3" fillId="0" borderId="0" xfId="1" applyNumberFormat="1" applyFont="1" applyFill="1"/>
    <xf numFmtId="167" fontId="0" fillId="0" borderId="0" xfId="1" applyNumberFormat="1" applyFont="1" applyFill="1"/>
    <xf numFmtId="0" fontId="3" fillId="0" borderId="0" xfId="0" applyFont="1" applyAlignment="1">
      <alignment horizontal="center"/>
    </xf>
    <xf numFmtId="167" fontId="9" fillId="0" borderId="0" xfId="1" applyNumberFormat="1" applyFont="1" applyFill="1" applyBorder="1"/>
    <xf numFmtId="167" fontId="0" fillId="0" borderId="0" xfId="1" applyNumberFormat="1" applyFont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26</xdr:row>
      <xdr:rowOff>9525</xdr:rowOff>
    </xdr:from>
    <xdr:to>
      <xdr:col>9</xdr:col>
      <xdr:colOff>592120</xdr:colOff>
      <xdr:row>58</xdr:row>
      <xdr:rowOff>162797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400800"/>
          <a:ext cx="11250595" cy="6249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workbookViewId="0">
      <selection activeCell="A61" sqref="A61"/>
    </sheetView>
  </sheetViews>
  <sheetFormatPr defaultRowHeight="15" x14ac:dyDescent="0.25"/>
  <cols>
    <col min="1" max="1" width="65.5703125" bestFit="1" customWidth="1"/>
    <col min="2" max="2" width="14.5703125" bestFit="1" customWidth="1"/>
    <col min="3" max="3" width="15" customWidth="1"/>
    <col min="4" max="4" width="13.5703125" bestFit="1" customWidth="1"/>
    <col min="5" max="6" width="12" customWidth="1"/>
  </cols>
  <sheetData>
    <row r="1" spans="1:7" ht="69.75" customHeight="1" x14ac:dyDescent="0.25">
      <c r="A1" s="37" t="s">
        <v>3</v>
      </c>
      <c r="B1" s="37"/>
      <c r="C1" s="37"/>
      <c r="D1" s="37"/>
      <c r="E1" s="37"/>
      <c r="F1" s="37"/>
      <c r="G1" s="37"/>
    </row>
    <row r="2" spans="1:7" ht="24" customHeight="1" thickBot="1" x14ac:dyDescent="0.3">
      <c r="B2" s="20" t="s">
        <v>22</v>
      </c>
    </row>
    <row r="3" spans="1:7" ht="60.6" customHeight="1" thickBot="1" x14ac:dyDescent="0.3">
      <c r="B3" s="6" t="s">
        <v>4</v>
      </c>
      <c r="C3" s="1" t="s">
        <v>5</v>
      </c>
      <c r="D3" s="7" t="s">
        <v>0</v>
      </c>
      <c r="E3" s="1" t="s">
        <v>23</v>
      </c>
      <c r="F3" s="1" t="s">
        <v>1</v>
      </c>
      <c r="G3" s="9" t="s">
        <v>2</v>
      </c>
    </row>
    <row r="4" spans="1:7" ht="30" x14ac:dyDescent="0.25">
      <c r="A4" s="10" t="s">
        <v>11</v>
      </c>
      <c r="B4" s="21">
        <f>20456234+750000+750000+6115169</f>
        <v>28071403</v>
      </c>
      <c r="C4" s="22">
        <f>30618342+1316566+1316566</f>
        <v>33251474</v>
      </c>
      <c r="D4" s="8">
        <f>C4-B4</f>
        <v>5180071</v>
      </c>
      <c r="E4" s="15">
        <f>D4/100000</f>
        <v>51.800710000000002</v>
      </c>
      <c r="F4" s="23">
        <v>189.8</v>
      </c>
      <c r="G4" s="16">
        <f>E4+F4</f>
        <v>241.60071000000002</v>
      </c>
    </row>
    <row r="5" spans="1:7" x14ac:dyDescent="0.25">
      <c r="A5" s="13" t="s">
        <v>9</v>
      </c>
      <c r="D5" s="2"/>
      <c r="E5" s="4"/>
    </row>
    <row r="6" spans="1:7" x14ac:dyDescent="0.25">
      <c r="A6" s="14" t="s">
        <v>6</v>
      </c>
      <c r="C6" s="3"/>
    </row>
    <row r="7" spans="1:7" x14ac:dyDescent="0.25">
      <c r="A7" s="14" t="s">
        <v>7</v>
      </c>
      <c r="B7" s="5"/>
      <c r="C7" s="11"/>
      <c r="E7" s="3"/>
    </row>
    <row r="8" spans="1:7" x14ac:dyDescent="0.25">
      <c r="A8" s="14" t="s">
        <v>8</v>
      </c>
      <c r="B8" s="8"/>
    </row>
    <row r="9" spans="1:7" x14ac:dyDescent="0.25">
      <c r="A9" s="13" t="s">
        <v>10</v>
      </c>
    </row>
    <row r="10" spans="1:7" x14ac:dyDescent="0.25">
      <c r="C10" s="2"/>
      <c r="D10" s="2"/>
    </row>
    <row r="11" spans="1:7" x14ac:dyDescent="0.25">
      <c r="A11" s="13" t="s">
        <v>17</v>
      </c>
      <c r="C11" s="2"/>
      <c r="D11" s="2"/>
    </row>
    <row r="12" spans="1:7" x14ac:dyDescent="0.25">
      <c r="A12" t="s">
        <v>12</v>
      </c>
    </row>
    <row r="13" spans="1:7" x14ac:dyDescent="0.25">
      <c r="A13" s="17" t="s">
        <v>13</v>
      </c>
      <c r="B13" s="8">
        <f>3186193.5+3181852.5</f>
        <v>6368046</v>
      </c>
      <c r="C13" s="8">
        <f>3557988+3555322</f>
        <v>7113310</v>
      </c>
    </row>
    <row r="14" spans="1:7" x14ac:dyDescent="0.25">
      <c r="A14" s="17" t="s">
        <v>14</v>
      </c>
      <c r="B14" s="8">
        <f>175372+175261</f>
        <v>350633</v>
      </c>
      <c r="C14" s="8">
        <f>153573+153508</f>
        <v>307081</v>
      </c>
    </row>
    <row r="15" spans="1:7" x14ac:dyDescent="0.25">
      <c r="A15" s="17" t="s">
        <v>15</v>
      </c>
      <c r="B15" s="8">
        <f>625473+624616</f>
        <v>1250089</v>
      </c>
      <c r="C15" s="8">
        <f>954499+953987</f>
        <v>1908486</v>
      </c>
    </row>
    <row r="16" spans="1:7" x14ac:dyDescent="0.25">
      <c r="A16" s="12" t="s">
        <v>16</v>
      </c>
      <c r="B16" s="8"/>
      <c r="C16" s="8"/>
    </row>
    <row r="17" spans="1:4" x14ac:dyDescent="0.25">
      <c r="A17" s="17" t="s">
        <v>13</v>
      </c>
      <c r="B17" s="8">
        <f>1525431+1529772</f>
        <v>3055203</v>
      </c>
      <c r="C17" s="8">
        <f>1340820.5+1343486.5</f>
        <v>2684307</v>
      </c>
    </row>
    <row r="18" spans="1:4" x14ac:dyDescent="0.25">
      <c r="A18" s="17" t="s">
        <v>14</v>
      </c>
      <c r="B18" s="8">
        <f>39187+39299</f>
        <v>78486</v>
      </c>
      <c r="C18" s="8">
        <f>32735+32800</f>
        <v>65535</v>
      </c>
    </row>
    <row r="19" spans="1:4" x14ac:dyDescent="0.25">
      <c r="A19" s="17" t="s">
        <v>15</v>
      </c>
      <c r="B19" s="8">
        <f>301145+302002</f>
        <v>603147</v>
      </c>
      <c r="C19" s="8">
        <f>257497+258009</f>
        <v>515506</v>
      </c>
    </row>
    <row r="20" spans="1:4" x14ac:dyDescent="0.25">
      <c r="B20" s="8"/>
      <c r="C20" s="8"/>
    </row>
    <row r="21" spans="1:4" x14ac:dyDescent="0.25">
      <c r="A21" s="17" t="s">
        <v>21</v>
      </c>
      <c r="B21" s="8">
        <f>750000+750000</f>
        <v>1500000</v>
      </c>
      <c r="C21" s="8">
        <f>1316566+1316566</f>
        <v>2633132</v>
      </c>
    </row>
    <row r="22" spans="1:4" x14ac:dyDescent="0.25">
      <c r="A22" s="17" t="s">
        <v>18</v>
      </c>
      <c r="B22" s="8">
        <f>4375315+4375315+3057585+3057584</f>
        <v>14865799</v>
      </c>
      <c r="C22" s="8">
        <f>9012059+9012058</f>
        <v>18024117</v>
      </c>
    </row>
    <row r="23" spans="1:4" x14ac:dyDescent="0.25">
      <c r="A23" s="18" t="s">
        <v>19</v>
      </c>
      <c r="B23" s="19">
        <f>SUM(B13:B22)</f>
        <v>28071403</v>
      </c>
      <c r="C23" s="19">
        <f>SUM(C13:C22)</f>
        <v>33251474</v>
      </c>
      <c r="D23" s="11">
        <f>C23-B23</f>
        <v>5180071</v>
      </c>
    </row>
    <row r="24" spans="1:4" x14ac:dyDescent="0.25">
      <c r="B24" s="8"/>
      <c r="C24" s="8"/>
    </row>
    <row r="25" spans="1:4" x14ac:dyDescent="0.25">
      <c r="A25" t="s">
        <v>20</v>
      </c>
      <c r="B25" s="8"/>
      <c r="C25" s="8"/>
    </row>
    <row r="26" spans="1:4" x14ac:dyDescent="0.25">
      <c r="B26" s="8"/>
      <c r="C26" s="8"/>
    </row>
    <row r="27" spans="1:4" x14ac:dyDescent="0.25">
      <c r="B27" s="8"/>
      <c r="C27" s="8"/>
    </row>
    <row r="28" spans="1:4" x14ac:dyDescent="0.25">
      <c r="B28" s="8"/>
      <c r="C28" s="8"/>
    </row>
    <row r="29" spans="1:4" x14ac:dyDescent="0.25">
      <c r="B29" s="8"/>
      <c r="C29" s="8"/>
    </row>
    <row r="61" spans="1:3" x14ac:dyDescent="0.25">
      <c r="A61" s="26" t="s">
        <v>17</v>
      </c>
    </row>
    <row r="62" spans="1:3" x14ac:dyDescent="0.25">
      <c r="A62" t="s">
        <v>39</v>
      </c>
      <c r="B62" s="25">
        <f>4853630+4853663</f>
        <v>9707293</v>
      </c>
      <c r="C62" s="25">
        <f>5006734*2</f>
        <v>10013468</v>
      </c>
    </row>
    <row r="63" spans="1:3" x14ac:dyDescent="0.25">
      <c r="A63" t="s">
        <v>40</v>
      </c>
      <c r="B63" s="25">
        <f>214559+214560</f>
        <v>429119</v>
      </c>
      <c r="C63" s="25">
        <f>186308*2</f>
        <v>372616</v>
      </c>
    </row>
    <row r="64" spans="1:3" x14ac:dyDescent="0.25">
      <c r="A64" t="s">
        <v>41</v>
      </c>
      <c r="B64" s="25">
        <f>926618*2</f>
        <v>1853236</v>
      </c>
      <c r="C64" s="25">
        <f>1211996*2</f>
        <v>2423992</v>
      </c>
    </row>
    <row r="65" spans="1:3" x14ac:dyDescent="0.25">
      <c r="A65" t="s">
        <v>44</v>
      </c>
      <c r="B65" s="25">
        <f>750000*2</f>
        <v>1500000</v>
      </c>
      <c r="C65" s="25">
        <f>1316566*2</f>
        <v>2633132</v>
      </c>
    </row>
    <row r="66" spans="1:3" x14ac:dyDescent="0.25">
      <c r="A66" t="s">
        <v>42</v>
      </c>
      <c r="B66" s="25">
        <f>4375315*2</f>
        <v>8750630</v>
      </c>
      <c r="C66" s="25">
        <f>9012059+9012058</f>
        <v>18024117</v>
      </c>
    </row>
    <row r="67" spans="1:3" x14ac:dyDescent="0.25">
      <c r="A67" t="s">
        <v>45</v>
      </c>
      <c r="B67" s="25">
        <f>3057585+3057584</f>
        <v>6115169</v>
      </c>
      <c r="C67" s="25">
        <v>0</v>
      </c>
    </row>
    <row r="68" spans="1:3" x14ac:dyDescent="0.25">
      <c r="A68" t="s">
        <v>43</v>
      </c>
      <c r="B68" s="25">
        <f>-142020*2</f>
        <v>-284040</v>
      </c>
      <c r="C68" s="25">
        <f>-107925*2</f>
        <v>-215850</v>
      </c>
    </row>
    <row r="69" spans="1:3" x14ac:dyDescent="0.25">
      <c r="B69" s="2">
        <f>SUM(B62:B68)</f>
        <v>28071407</v>
      </c>
      <c r="C69" s="2">
        <f>SUM(C62:C68)</f>
        <v>33251475</v>
      </c>
    </row>
  </sheetData>
  <mergeCells count="1">
    <mergeCell ref="A1:G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8"/>
  <sheetViews>
    <sheetView tabSelected="1" workbookViewId="0">
      <selection activeCell="J6" sqref="J6"/>
    </sheetView>
  </sheetViews>
  <sheetFormatPr defaultRowHeight="15" x14ac:dyDescent="0.25"/>
  <cols>
    <col min="1" max="1" width="65.5703125" bestFit="1" customWidth="1"/>
    <col min="2" max="2" width="15.28515625" bestFit="1" customWidth="1"/>
    <col min="3" max="3" width="15" customWidth="1"/>
    <col min="4" max="4" width="13.5703125" bestFit="1" customWidth="1"/>
    <col min="5" max="5" width="12" customWidth="1"/>
    <col min="6" max="6" width="13.7109375" customWidth="1"/>
    <col min="7" max="7" width="14.28515625" bestFit="1" customWidth="1"/>
    <col min="10" max="10" width="21.140625" customWidth="1"/>
    <col min="11" max="11" width="12.5703125" bestFit="1" customWidth="1"/>
    <col min="12" max="12" width="15.28515625" bestFit="1" customWidth="1"/>
  </cols>
  <sheetData>
    <row r="1" spans="1:12" ht="32.25" customHeight="1" x14ac:dyDescent="0.25">
      <c r="A1" s="38" t="s">
        <v>26</v>
      </c>
      <c r="B1" s="39"/>
      <c r="C1" s="39"/>
      <c r="D1" s="39"/>
      <c r="E1" s="39"/>
      <c r="F1" s="39"/>
      <c r="G1" s="39"/>
    </row>
    <row r="2" spans="1:12" ht="18.75" x14ac:dyDescent="0.25">
      <c r="A2" s="27"/>
      <c r="B2" s="40" t="s">
        <v>33</v>
      </c>
      <c r="C2" s="40"/>
      <c r="D2" s="34">
        <v>250000</v>
      </c>
      <c r="E2" s="28"/>
      <c r="F2" s="28"/>
      <c r="G2" s="28"/>
    </row>
    <row r="3" spans="1:12" ht="24" customHeight="1" thickBot="1" x14ac:dyDescent="0.3">
      <c r="B3" s="20" t="s">
        <v>22</v>
      </c>
    </row>
    <row r="4" spans="1:12" ht="60.6" customHeight="1" thickBot="1" x14ac:dyDescent="0.3">
      <c r="A4" s="26" t="s">
        <v>28</v>
      </c>
      <c r="B4" s="6" t="s">
        <v>4</v>
      </c>
      <c r="C4" s="1" t="s">
        <v>5</v>
      </c>
      <c r="D4" s="7" t="s">
        <v>0</v>
      </c>
      <c r="E4" s="1" t="s">
        <v>24</v>
      </c>
      <c r="F4" s="1" t="s">
        <v>25</v>
      </c>
      <c r="G4" s="9" t="s">
        <v>2</v>
      </c>
    </row>
    <row r="5" spans="1:12" x14ac:dyDescent="0.25">
      <c r="A5" s="10" t="s">
        <v>31</v>
      </c>
      <c r="B5" s="21">
        <v>281558371</v>
      </c>
      <c r="C5" s="21">
        <v>302106564</v>
      </c>
      <c r="D5" s="8">
        <f>C5-B5</f>
        <v>20548193</v>
      </c>
      <c r="E5" s="15">
        <f>D7/$D$2</f>
        <v>85.533643999999995</v>
      </c>
      <c r="F5" s="23">
        <v>1956.8</v>
      </c>
      <c r="G5" s="16">
        <f>E5+F5</f>
        <v>2042.333644</v>
      </c>
    </row>
    <row r="6" spans="1:12" x14ac:dyDescent="0.25">
      <c r="A6" s="10" t="s">
        <v>32</v>
      </c>
      <c r="B6" s="21">
        <v>9594550</v>
      </c>
      <c r="C6" s="21">
        <v>10429768</v>
      </c>
      <c r="D6" s="8">
        <f>C6-B6</f>
        <v>835218</v>
      </c>
      <c r="E6" s="15"/>
      <c r="F6" s="32"/>
      <c r="G6" s="16"/>
    </row>
    <row r="7" spans="1:12" x14ac:dyDescent="0.25">
      <c r="A7" s="10" t="s">
        <v>30</v>
      </c>
      <c r="B7" s="33">
        <f>SUM(B5:B6)</f>
        <v>291152921</v>
      </c>
      <c r="C7" s="33">
        <f>SUM(C5:C6)</f>
        <v>312536332</v>
      </c>
      <c r="D7" s="8">
        <f>C7-B7</f>
        <v>21383411</v>
      </c>
      <c r="E7" s="15"/>
      <c r="F7" s="32"/>
      <c r="G7" s="16"/>
    </row>
    <row r="8" spans="1:12" x14ac:dyDescent="0.25">
      <c r="A8" s="10"/>
      <c r="B8" s="29"/>
      <c r="C8" s="30"/>
      <c r="D8" s="31"/>
      <c r="E8" s="15"/>
      <c r="F8" s="32"/>
      <c r="G8" s="16"/>
      <c r="J8" s="35" t="s">
        <v>46</v>
      </c>
      <c r="K8" s="36" t="s">
        <v>55</v>
      </c>
      <c r="L8" s="36" t="s">
        <v>54</v>
      </c>
    </row>
    <row r="9" spans="1:12" x14ac:dyDescent="0.25">
      <c r="A9" s="13" t="s">
        <v>17</v>
      </c>
      <c r="B9" s="25"/>
      <c r="C9" s="25"/>
      <c r="D9" s="2"/>
      <c r="J9" t="s">
        <v>47</v>
      </c>
      <c r="K9" s="25">
        <f>42812669+42812671+7066671*2+4478021*2</f>
        <v>108714724</v>
      </c>
      <c r="L9" s="25">
        <f>41993599*2+7680830*2+5097846*2</f>
        <v>109544550</v>
      </c>
    </row>
    <row r="10" spans="1:12" x14ac:dyDescent="0.25">
      <c r="A10" t="s">
        <v>34</v>
      </c>
      <c r="B10" s="25">
        <f>159283274+159315359</f>
        <v>318598633</v>
      </c>
      <c r="C10" s="25">
        <f>169568982+169569682</f>
        <v>339138664</v>
      </c>
      <c r="J10" t="s">
        <v>48</v>
      </c>
      <c r="K10" s="25">
        <f>7576555*2</f>
        <v>15153110</v>
      </c>
      <c r="L10" s="25">
        <f>8202611*2</f>
        <v>16405222</v>
      </c>
    </row>
    <row r="11" spans="1:12" x14ac:dyDescent="0.25">
      <c r="A11" t="s">
        <v>35</v>
      </c>
      <c r="B11" s="25">
        <f>-18520131-18520131</f>
        <v>-37040262</v>
      </c>
      <c r="C11" s="25">
        <f>-18515700-18516400</f>
        <v>-37032100</v>
      </c>
      <c r="J11" t="s">
        <v>49</v>
      </c>
      <c r="K11" s="25">
        <f>6429109*2</f>
        <v>12858218</v>
      </c>
      <c r="L11" s="25">
        <f>6949001*2</f>
        <v>13898002</v>
      </c>
    </row>
    <row r="12" spans="1:12" x14ac:dyDescent="0.25">
      <c r="A12" t="s">
        <v>36</v>
      </c>
      <c r="B12" s="25">
        <f>6746270+6746271</f>
        <v>13492541</v>
      </c>
      <c r="C12" s="25">
        <f>7145420*2</f>
        <v>14290840</v>
      </c>
      <c r="J12" t="s">
        <v>50</v>
      </c>
      <c r="K12" s="25">
        <f>25018124*2</f>
        <v>50036248</v>
      </c>
      <c r="L12" s="25">
        <f>27218052*2</f>
        <v>54436104</v>
      </c>
    </row>
    <row r="13" spans="1:12" x14ac:dyDescent="0.25">
      <c r="A13" t="s">
        <v>37</v>
      </c>
      <c r="B13" s="25">
        <f>-703232-735318</f>
        <v>-1438550</v>
      </c>
      <c r="C13" s="25">
        <f>-646088*2</f>
        <v>-1292176</v>
      </c>
      <c r="J13" t="s">
        <v>51</v>
      </c>
      <c r="K13" s="25">
        <v>0</v>
      </c>
      <c r="L13" s="25">
        <f>57424945*2</f>
        <v>114849890</v>
      </c>
    </row>
    <row r="14" spans="1:12" x14ac:dyDescent="0.25">
      <c r="A14" t="s">
        <v>38</v>
      </c>
      <c r="B14" s="25">
        <f>-1229720*2</f>
        <v>-2459440</v>
      </c>
      <c r="C14" s="25">
        <f>-1284448*2</f>
        <v>-2568896</v>
      </c>
      <c r="J14" t="s">
        <v>45</v>
      </c>
      <c r="K14" s="25">
        <f>10908652+10908650</f>
        <v>21817302</v>
      </c>
      <c r="L14" s="25"/>
    </row>
    <row r="15" spans="1:12" x14ac:dyDescent="0.25">
      <c r="A15" s="17"/>
      <c r="B15" s="8"/>
      <c r="C15" s="8"/>
      <c r="J15" t="s">
        <v>52</v>
      </c>
      <c r="K15" s="25">
        <f>41784966*2</f>
        <v>83569932</v>
      </c>
      <c r="L15" s="25">
        <f>2307632*2</f>
        <v>4615264</v>
      </c>
    </row>
    <row r="16" spans="1:12" x14ac:dyDescent="0.25">
      <c r="A16" s="18" t="s">
        <v>19</v>
      </c>
      <c r="B16" s="19">
        <f>SUM(B10:B14)</f>
        <v>291152922</v>
      </c>
      <c r="C16" s="19">
        <f>SUM(C10:C14)</f>
        <v>312536332</v>
      </c>
      <c r="D16" s="11">
        <f>C16-B16</f>
        <v>21383410</v>
      </c>
      <c r="J16" t="s">
        <v>53</v>
      </c>
      <c r="K16" s="25">
        <f>-498306*2</f>
        <v>-996612</v>
      </c>
      <c r="L16" s="25">
        <f>-606350*2</f>
        <v>-1212700</v>
      </c>
    </row>
    <row r="17" spans="1:12" ht="15.75" thickBot="1" x14ac:dyDescent="0.3">
      <c r="A17" s="18"/>
      <c r="B17" s="19"/>
      <c r="C17" s="19"/>
      <c r="D17" s="11"/>
      <c r="K17" s="25">
        <f>SUM(K9:K16)</f>
        <v>291152922</v>
      </c>
      <c r="L17" s="25">
        <f>SUM(L9:L16)</f>
        <v>312536332</v>
      </c>
    </row>
    <row r="18" spans="1:12" ht="60.6" customHeight="1" thickBot="1" x14ac:dyDescent="0.3">
      <c r="A18" s="26" t="s">
        <v>29</v>
      </c>
      <c r="B18" s="6" t="s">
        <v>4</v>
      </c>
      <c r="C18" s="1" t="s">
        <v>5</v>
      </c>
      <c r="D18" s="7" t="s">
        <v>0</v>
      </c>
      <c r="E18" s="1" t="s">
        <v>24</v>
      </c>
      <c r="F18" s="1" t="s">
        <v>25</v>
      </c>
      <c r="G18" s="9" t="s">
        <v>2</v>
      </c>
    </row>
    <row r="19" spans="1:12" x14ac:dyDescent="0.25">
      <c r="A19" s="10" t="s">
        <v>31</v>
      </c>
      <c r="B19" s="21">
        <v>480942336</v>
      </c>
      <c r="C19" s="22">
        <v>490702898</v>
      </c>
      <c r="D19" s="8">
        <f>C19-B19</f>
        <v>9760562</v>
      </c>
      <c r="E19" s="15">
        <f>D21/$D$2</f>
        <v>40.662103999999999</v>
      </c>
      <c r="F19" s="23">
        <v>1878.7</v>
      </c>
      <c r="G19" s="16">
        <f>E19+F19</f>
        <v>1919.362104</v>
      </c>
    </row>
    <row r="20" spans="1:12" x14ac:dyDescent="0.25">
      <c r="A20" s="10" t="s">
        <v>32</v>
      </c>
      <c r="B20" s="21">
        <v>15762836</v>
      </c>
      <c r="C20" s="22">
        <v>16167800</v>
      </c>
      <c r="D20" s="8">
        <f>C20-B20</f>
        <v>404964</v>
      </c>
      <c r="E20" s="15"/>
      <c r="F20" s="32"/>
      <c r="G20" s="16"/>
    </row>
    <row r="21" spans="1:12" x14ac:dyDescent="0.25">
      <c r="A21" s="10" t="s">
        <v>30</v>
      </c>
      <c r="B21" s="33">
        <f>SUM(B19:B20)</f>
        <v>496705172</v>
      </c>
      <c r="C21" s="33">
        <f>SUM(C19:C20)</f>
        <v>506870698</v>
      </c>
      <c r="D21" s="33">
        <f>SUM(D19:D20)</f>
        <v>10165526</v>
      </c>
      <c r="E21" s="15"/>
      <c r="F21" s="32"/>
      <c r="G21" s="16"/>
    </row>
    <row r="22" spans="1:12" x14ac:dyDescent="0.25">
      <c r="A22" s="10"/>
      <c r="B22" s="29"/>
      <c r="C22" s="30"/>
      <c r="D22" s="31"/>
      <c r="E22" s="15"/>
      <c r="F22" s="32"/>
      <c r="G22" s="16"/>
    </row>
    <row r="23" spans="1:12" x14ac:dyDescent="0.25">
      <c r="A23" s="13" t="s">
        <v>17</v>
      </c>
      <c r="B23" s="25"/>
      <c r="C23" s="25"/>
      <c r="D23" s="2"/>
    </row>
    <row r="24" spans="1:12" x14ac:dyDescent="0.25">
      <c r="A24" t="s">
        <v>34</v>
      </c>
      <c r="B24" s="25">
        <f>262832204+262967016</f>
        <v>525799220</v>
      </c>
      <c r="C24" s="25">
        <f>267775848+267775350</f>
        <v>535551198</v>
      </c>
    </row>
    <row r="25" spans="1:12" x14ac:dyDescent="0.25">
      <c r="A25" t="s">
        <v>35</v>
      </c>
      <c r="B25" s="25">
        <f>-22428442*2</f>
        <v>-44856884</v>
      </c>
      <c r="C25" s="25">
        <f>-22424400-22423900</f>
        <v>-44848300</v>
      </c>
    </row>
    <row r="26" spans="1:12" x14ac:dyDescent="0.25">
      <c r="A26" t="s">
        <v>36</v>
      </c>
      <c r="B26" s="25">
        <f>11946715+11946714</f>
        <v>23893429</v>
      </c>
      <c r="C26" s="25">
        <f>11679324+11679324</f>
        <v>23358648</v>
      </c>
    </row>
    <row r="27" spans="1:12" x14ac:dyDescent="0.25">
      <c r="A27" t="s">
        <v>37</v>
      </c>
      <c r="B27" s="25">
        <f>-2954863-3089675</f>
        <v>-6044538</v>
      </c>
      <c r="C27" s="25">
        <f>-2552719*2</f>
        <v>-5105438</v>
      </c>
    </row>
    <row r="28" spans="1:12" x14ac:dyDescent="0.25">
      <c r="A28" t="s">
        <v>38</v>
      </c>
      <c r="B28" s="25">
        <f>-1043028*2</f>
        <v>-2086056</v>
      </c>
      <c r="C28" s="25">
        <f>-1042705*2</f>
        <v>-2085410</v>
      </c>
    </row>
    <row r="29" spans="1:12" x14ac:dyDescent="0.25">
      <c r="A29" s="17"/>
      <c r="B29" s="8"/>
      <c r="C29" s="8"/>
    </row>
    <row r="30" spans="1:12" x14ac:dyDescent="0.25">
      <c r="A30" s="18" t="s">
        <v>19</v>
      </c>
      <c r="B30" s="19">
        <f>SUM(B24:B28)</f>
        <v>496705171</v>
      </c>
      <c r="C30" s="19">
        <f>SUM(C24:C28)</f>
        <v>506870698</v>
      </c>
      <c r="D30" s="11">
        <f>C30-B30</f>
        <v>10165527</v>
      </c>
    </row>
    <row r="31" spans="1:12" ht="15.75" thickBot="1" x14ac:dyDescent="0.3">
      <c r="A31" s="18"/>
      <c r="B31" s="19"/>
      <c r="C31" s="19"/>
      <c r="D31" s="11"/>
    </row>
    <row r="32" spans="1:12" ht="60.6" customHeight="1" thickBot="1" x14ac:dyDescent="0.3">
      <c r="A32" s="26" t="s">
        <v>27</v>
      </c>
      <c r="B32" s="6" t="s">
        <v>4</v>
      </c>
      <c r="C32" s="1" t="s">
        <v>5</v>
      </c>
      <c r="D32" s="7" t="s">
        <v>0</v>
      </c>
      <c r="E32" s="1" t="s">
        <v>24</v>
      </c>
      <c r="F32" s="1" t="s">
        <v>25</v>
      </c>
      <c r="G32" s="9" t="s">
        <v>2</v>
      </c>
    </row>
    <row r="33" spans="1:7" x14ac:dyDescent="0.25">
      <c r="A33" s="10" t="s">
        <v>31</v>
      </c>
      <c r="B33" s="21">
        <v>363130079</v>
      </c>
      <c r="C33" s="22">
        <v>381531623</v>
      </c>
      <c r="D33" s="8">
        <f>C33-B33</f>
        <v>18401544</v>
      </c>
      <c r="E33" s="15">
        <f>D35/$D$2</f>
        <v>71.944472000000005</v>
      </c>
      <c r="F33" s="23">
        <v>682.1</v>
      </c>
      <c r="G33" s="16">
        <f>E33+F33</f>
        <v>754.04447200000004</v>
      </c>
    </row>
    <row r="34" spans="1:7" x14ac:dyDescent="0.25">
      <c r="A34" s="10" t="s">
        <v>32</v>
      </c>
      <c r="B34" s="21">
        <v>1571470</v>
      </c>
      <c r="C34" s="22">
        <v>1156044</v>
      </c>
      <c r="D34" s="8">
        <f>C34-B34</f>
        <v>-415426</v>
      </c>
      <c r="G34" s="24"/>
    </row>
    <row r="35" spans="1:7" x14ac:dyDescent="0.25">
      <c r="A35" s="10" t="s">
        <v>30</v>
      </c>
      <c r="B35" s="33">
        <f>SUM(B33:B34)</f>
        <v>364701549</v>
      </c>
      <c r="C35" s="33">
        <f>SUM(C33:C34)</f>
        <v>382687667</v>
      </c>
      <c r="D35" s="33">
        <f>SUM(D33:D34)</f>
        <v>17986118</v>
      </c>
    </row>
    <row r="36" spans="1:7" x14ac:dyDescent="0.25">
      <c r="A36" s="10"/>
      <c r="B36" s="29"/>
      <c r="C36" s="30"/>
      <c r="D36" s="31"/>
    </row>
    <row r="37" spans="1:7" x14ac:dyDescent="0.25">
      <c r="A37" s="13" t="s">
        <v>17</v>
      </c>
      <c r="B37" s="25"/>
      <c r="C37" s="25"/>
      <c r="D37" s="2"/>
    </row>
    <row r="38" spans="1:7" x14ac:dyDescent="0.25">
      <c r="A38" t="s">
        <v>34</v>
      </c>
      <c r="B38" s="25">
        <f>192891958+192894019</f>
        <v>385785977</v>
      </c>
      <c r="C38" s="25">
        <f>202092811+202093162</f>
        <v>404185973</v>
      </c>
    </row>
    <row r="39" spans="1:7" x14ac:dyDescent="0.25">
      <c r="A39" t="s">
        <v>35</v>
      </c>
      <c r="B39" s="25">
        <f>-11327949*2</f>
        <v>-22655898</v>
      </c>
      <c r="C39" s="25">
        <f>-11327000-11327350</f>
        <v>-22654350</v>
      </c>
    </row>
    <row r="40" spans="1:7" x14ac:dyDescent="0.25">
      <c r="A40" t="s">
        <v>36</v>
      </c>
      <c r="B40" s="25">
        <f>918810*2</f>
        <v>1837620</v>
      </c>
      <c r="C40" s="25">
        <f>703095*2</f>
        <v>1406190</v>
      </c>
    </row>
    <row r="41" spans="1:7" x14ac:dyDescent="0.25">
      <c r="A41" t="s">
        <v>37</v>
      </c>
      <c r="B41" s="25">
        <f>-45172-47232</f>
        <v>-92404</v>
      </c>
      <c r="C41" s="25">
        <f>-22409*2</f>
        <v>-44818</v>
      </c>
    </row>
    <row r="42" spans="1:7" x14ac:dyDescent="0.25">
      <c r="A42" t="s">
        <v>38</v>
      </c>
      <c r="B42" s="25">
        <f>-86873*2</f>
        <v>-173746</v>
      </c>
      <c r="C42" s="25">
        <f>-102664*2</f>
        <v>-205328</v>
      </c>
    </row>
    <row r="43" spans="1:7" x14ac:dyDescent="0.25">
      <c r="A43" s="17"/>
      <c r="B43" s="8"/>
      <c r="C43" s="8"/>
    </row>
    <row r="44" spans="1:7" x14ac:dyDescent="0.25">
      <c r="A44" s="18" t="s">
        <v>19</v>
      </c>
      <c r="B44" s="19">
        <f>SUM(B38:B42)</f>
        <v>364701549</v>
      </c>
      <c r="C44" s="19">
        <f>SUM(C38:C42)</f>
        <v>382687667</v>
      </c>
      <c r="D44" s="11">
        <f>C44-B44</f>
        <v>17986118</v>
      </c>
    </row>
    <row r="45" spans="1:7" x14ac:dyDescent="0.25">
      <c r="B45" s="8"/>
      <c r="C45" s="8"/>
      <c r="D45" s="11"/>
    </row>
    <row r="46" spans="1:7" x14ac:dyDescent="0.25">
      <c r="B46" s="8"/>
      <c r="C46" s="8"/>
      <c r="D46" s="11"/>
    </row>
    <row r="47" spans="1:7" x14ac:dyDescent="0.25">
      <c r="B47" s="8"/>
      <c r="C47" s="8"/>
      <c r="D47" s="11"/>
    </row>
    <row r="48" spans="1:7" x14ac:dyDescent="0.25">
      <c r="B48" s="8"/>
      <c r="C48" s="8"/>
    </row>
  </sheetData>
  <mergeCells count="2">
    <mergeCell ref="A1:G1"/>
    <mergeCell ref="B2:C2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b19c134a-14c9-4d4c-af65-c420f94c8cbb}" enabled="0" method="" siteId="{b19c134a-14c9-4d4c-af65-c420f94c8cb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GAI</vt:lpstr>
      <vt:lpstr>HRI</vt:lpstr>
    </vt:vector>
  </TitlesOfParts>
  <Company>Division of Finance and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Foster, Tracy D</dc:creator>
  <cp:lastModifiedBy>Edmonds, Anna</cp:lastModifiedBy>
  <dcterms:created xsi:type="dcterms:W3CDTF">2020-01-29T15:53:35Z</dcterms:created>
  <dcterms:modified xsi:type="dcterms:W3CDTF">2024-07-08T21:54:12Z</dcterms:modified>
</cp:coreProperties>
</file>