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https://txst-my.sharepoint.com/personal/ag1461_txstate_edu/Documents/Desktop/LAR Workshop Files/"/>
    </mc:Choice>
  </mc:AlternateContent>
  <xr:revisionPtr revIDLastSave="0" documentId="8_{088CBED4-500A-4BF0-A4A1-8876549EE44B}" xr6:coauthVersionLast="47" xr6:coauthVersionMax="47" xr10:uidLastSave="{00000000-0000-0000-0000-000000000000}"/>
  <bookViews>
    <workbookView xWindow="3195" yWindow="2700" windowWidth="25530" windowHeight="15405" tabRatio="596" firstSheet="4" activeTab="6" xr2:uid="{00000000-000D-0000-FFFF-FFFF00000000}"/>
  </bookViews>
  <sheets>
    <sheet name="INPUT SHEET FOR LAR" sheetId="15" r:id="rId1"/>
    <sheet name="Base Recon" sheetId="32" r:id="rId2"/>
    <sheet name="APS011 Sec I" sheetId="28" r:id="rId3"/>
    <sheet name="APS011 Sec II" sheetId="29" r:id="rId4"/>
    <sheet name="APS011 LocalFundsAdj" sheetId="30" r:id="rId5"/>
    <sheet name="Schedule 1A Checklist" sheetId="1" r:id="rId6"/>
    <sheet name="LAR Schedule 1A" sheetId="12" r:id="rId7"/>
    <sheet name="LAR Schedule 1B" sheetId="35" r:id="rId8"/>
    <sheet name="Schedule 3A, 3B, 3D" sheetId="36" r:id="rId9"/>
    <sheet name="HE-Schedule 4 Instructions" sheetId="20" r:id="rId10"/>
    <sheet name="HE - Schedule 4 OFFICIAL" sheetId="23" r:id="rId11"/>
    <sheet name="HE-Schedule 5 Instructions" sheetId="21" r:id="rId12"/>
    <sheet name="HE - Schedule 5 OFFICIAL" sheetId="24" r:id="rId13"/>
    <sheet name="Sch 7 LAR " sheetId="37" r:id="rId14"/>
  </sheets>
  <externalReferences>
    <externalReference r:id="rId15"/>
  </externalReferences>
  <definedNames>
    <definedName name="OtherGRD">'Base Recon'!$C$151:$C$158</definedName>
    <definedName name="Permanent.Endowment.Fund">'Base Recon'!$C$163:$C$174</definedName>
    <definedName name="_xlnm.Print_Area" localSheetId="1">'Base Recon'!$A$1:$J$139</definedName>
    <definedName name="_xlnm.Print_Area" localSheetId="6">'LAR Schedule 1A'!$A$22:$J$125</definedName>
    <definedName name="_xlnm.Print_Area" localSheetId="7">'LAR Schedule 1B'!$A$1:$J$28</definedName>
    <definedName name="_xlnm.Print_Area" localSheetId="13">'Sch 7 LAR '!$A$1:$F$57</definedName>
    <definedName name="_xlnm.Print_Area" localSheetId="8">'Schedule 3A, 3B, 3D'!$A$1:$L$93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9" i="12" l="1"/>
  <c r="D109" i="12"/>
  <c r="E109" i="12"/>
  <c r="F109" i="12"/>
  <c r="C109" i="12"/>
  <c r="H118" i="12"/>
  <c r="F118" i="12"/>
  <c r="E118" i="12"/>
  <c r="D118" i="12"/>
  <c r="C118" i="12"/>
  <c r="C34" i="24"/>
  <c r="D14" i="24" l="1"/>
  <c r="D12" i="24"/>
  <c r="C12" i="37" l="1"/>
  <c r="C18" i="37" s="1"/>
  <c r="B12" i="37"/>
  <c r="C8" i="37"/>
  <c r="C14" i="37" s="1"/>
  <c r="B8" i="37"/>
  <c r="B14" i="37" s="1"/>
  <c r="B18" i="37" s="1"/>
  <c r="F8" i="37"/>
  <c r="E8" i="37"/>
  <c r="D8" i="37"/>
  <c r="B19" i="37" l="1"/>
  <c r="C19" i="37"/>
  <c r="E14" i="37"/>
  <c r="D12" i="37"/>
  <c r="D18" i="37" s="1"/>
  <c r="D14" i="37"/>
  <c r="E12" i="37" l="1"/>
  <c r="E18" i="37" s="1"/>
  <c r="E19" i="37" s="1"/>
  <c r="D19" i="37"/>
  <c r="F12" i="37" l="1"/>
  <c r="F18" i="37" s="1"/>
  <c r="F14" i="37"/>
  <c r="F19" i="37" l="1"/>
  <c r="C3" i="36"/>
  <c r="D73" i="36" l="1"/>
  <c r="L67" i="36"/>
  <c r="L66" i="36"/>
  <c r="D66" i="36"/>
  <c r="L62" i="36"/>
  <c r="L56" i="36"/>
  <c r="D56" i="36"/>
  <c r="H55" i="36"/>
  <c r="F55" i="36"/>
  <c r="H54" i="36"/>
  <c r="F54" i="36"/>
  <c r="J54" i="36" s="1"/>
  <c r="H53" i="36"/>
  <c r="F53" i="36"/>
  <c r="J53" i="36" s="1"/>
  <c r="H52" i="36"/>
  <c r="F52" i="36"/>
  <c r="J52" i="36" s="1"/>
  <c r="H51" i="36"/>
  <c r="F51" i="36"/>
  <c r="H50" i="36"/>
  <c r="F50" i="36"/>
  <c r="L45" i="36"/>
  <c r="D45" i="36"/>
  <c r="D58" i="36" s="1"/>
  <c r="H44" i="36"/>
  <c r="F44" i="36"/>
  <c r="J44" i="36" s="1"/>
  <c r="H43" i="36"/>
  <c r="F43" i="36"/>
  <c r="H42" i="36"/>
  <c r="F42" i="36"/>
  <c r="J42" i="36" s="1"/>
  <c r="H41" i="36"/>
  <c r="F41" i="36"/>
  <c r="J41" i="36" s="1"/>
  <c r="H40" i="36"/>
  <c r="F40" i="36"/>
  <c r="J40" i="36" s="1"/>
  <c r="H39" i="36"/>
  <c r="F39" i="36"/>
  <c r="L31" i="36"/>
  <c r="L78" i="36" s="1"/>
  <c r="D31" i="36"/>
  <c r="H31" i="36" s="1"/>
  <c r="H78" i="36" s="1"/>
  <c r="L30" i="36"/>
  <c r="L77" i="36" s="1"/>
  <c r="F30" i="36"/>
  <c r="D30" i="36"/>
  <c r="D77" i="36" s="1"/>
  <c r="L29" i="36"/>
  <c r="L76" i="36" s="1"/>
  <c r="D29" i="36"/>
  <c r="F29" i="36" s="1"/>
  <c r="L28" i="36"/>
  <c r="L75" i="36" s="1"/>
  <c r="D28" i="36"/>
  <c r="H28" i="36" s="1"/>
  <c r="H75" i="36" s="1"/>
  <c r="L27" i="36"/>
  <c r="L74" i="36" s="1"/>
  <c r="D27" i="36"/>
  <c r="H27" i="36" s="1"/>
  <c r="H74" i="36" s="1"/>
  <c r="L26" i="36"/>
  <c r="L73" i="36" s="1"/>
  <c r="D26" i="36"/>
  <c r="H26" i="36" s="1"/>
  <c r="L19" i="36"/>
  <c r="D19" i="36"/>
  <c r="D67" i="36" s="1"/>
  <c r="H18" i="36"/>
  <c r="H66" i="36" s="1"/>
  <c r="F18" i="36"/>
  <c r="F66" i="36" s="1"/>
  <c r="L17" i="36"/>
  <c r="L65" i="36" s="1"/>
  <c r="D17" i="36"/>
  <c r="F17" i="36" s="1"/>
  <c r="L16" i="36"/>
  <c r="L64" i="36" s="1"/>
  <c r="D16" i="36"/>
  <c r="H16" i="36" s="1"/>
  <c r="L15" i="36"/>
  <c r="L63" i="36" s="1"/>
  <c r="D15" i="36"/>
  <c r="D63" i="36" s="1"/>
  <c r="L14" i="36"/>
  <c r="D14" i="36"/>
  <c r="H14" i="36" s="1"/>
  <c r="B8" i="36"/>
  <c r="L88" i="36" l="1"/>
  <c r="F15" i="36"/>
  <c r="H15" i="36"/>
  <c r="H63" i="36" s="1"/>
  <c r="H85" i="36" s="1"/>
  <c r="L89" i="36"/>
  <c r="H56" i="36"/>
  <c r="D64" i="36"/>
  <c r="D75" i="36"/>
  <c r="D88" i="36"/>
  <c r="J43" i="36"/>
  <c r="J51" i="36"/>
  <c r="J55" i="36"/>
  <c r="D76" i="36"/>
  <c r="J18" i="36"/>
  <c r="F45" i="36"/>
  <c r="F58" i="36" s="1"/>
  <c r="H64" i="36"/>
  <c r="H86" i="36" s="1"/>
  <c r="L58" i="36"/>
  <c r="F56" i="36"/>
  <c r="H45" i="36"/>
  <c r="F77" i="36"/>
  <c r="H30" i="36"/>
  <c r="H77" i="36" s="1"/>
  <c r="H88" i="36" s="1"/>
  <c r="D78" i="36"/>
  <c r="D89" i="36" s="1"/>
  <c r="L68" i="36"/>
  <c r="L85" i="36"/>
  <c r="H73" i="36"/>
  <c r="L87" i="36"/>
  <c r="L86" i="36"/>
  <c r="H62" i="36"/>
  <c r="L79" i="36"/>
  <c r="L84" i="36"/>
  <c r="F76" i="36"/>
  <c r="H58" i="36"/>
  <c r="F65" i="36"/>
  <c r="F88" i="36"/>
  <c r="J77" i="36"/>
  <c r="J66" i="36"/>
  <c r="L20" i="36"/>
  <c r="H17" i="36"/>
  <c r="H65" i="36" s="1"/>
  <c r="F26" i="36"/>
  <c r="H29" i="36"/>
  <c r="H76" i="36" s="1"/>
  <c r="J50" i="36"/>
  <c r="J56" i="36" s="1"/>
  <c r="F63" i="36"/>
  <c r="F27" i="36"/>
  <c r="H19" i="36"/>
  <c r="H67" i="36" s="1"/>
  <c r="H89" i="36" s="1"/>
  <c r="F16" i="36"/>
  <c r="F31" i="36"/>
  <c r="L32" i="36"/>
  <c r="J39" i="36"/>
  <c r="J45" i="36" s="1"/>
  <c r="D65" i="36"/>
  <c r="D87" i="36" s="1"/>
  <c r="F14" i="36"/>
  <c r="D20" i="36"/>
  <c r="F28" i="36"/>
  <c r="D62" i="36"/>
  <c r="D74" i="36"/>
  <c r="D85" i="36" s="1"/>
  <c r="D32" i="36"/>
  <c r="F19" i="36"/>
  <c r="J88" i="36" l="1"/>
  <c r="H87" i="36"/>
  <c r="J76" i="36"/>
  <c r="H32" i="36"/>
  <c r="H79" i="36"/>
  <c r="D86" i="36"/>
  <c r="J30" i="36"/>
  <c r="L34" i="36"/>
  <c r="J15" i="36"/>
  <c r="J29" i="36"/>
  <c r="D34" i="36"/>
  <c r="J31" i="36"/>
  <c r="F78" i="36"/>
  <c r="J78" i="36" s="1"/>
  <c r="D84" i="36"/>
  <c r="D91" i="36" s="1"/>
  <c r="D68" i="36"/>
  <c r="F74" i="36"/>
  <c r="J74" i="36" s="1"/>
  <c r="J27" i="36"/>
  <c r="F62" i="36"/>
  <c r="F20" i="36"/>
  <c r="J14" i="36"/>
  <c r="J63" i="36"/>
  <c r="L91" i="36"/>
  <c r="J16" i="36"/>
  <c r="F64" i="36"/>
  <c r="D79" i="36"/>
  <c r="J19" i="36"/>
  <c r="F67" i="36"/>
  <c r="J58" i="36"/>
  <c r="J17" i="36"/>
  <c r="H20" i="36"/>
  <c r="H34" i="36" s="1"/>
  <c r="J28" i="36"/>
  <c r="F75" i="36"/>
  <c r="J75" i="36" s="1"/>
  <c r="F73" i="36"/>
  <c r="F32" i="36"/>
  <c r="J26" i="36"/>
  <c r="J65" i="36"/>
  <c r="F87" i="36"/>
  <c r="J87" i="36" s="1"/>
  <c r="H84" i="36"/>
  <c r="H91" i="36" s="1"/>
  <c r="H68" i="36"/>
  <c r="F34" i="36" l="1"/>
  <c r="F86" i="36"/>
  <c r="J86" i="36" s="1"/>
  <c r="J64" i="36"/>
  <c r="F85" i="36"/>
  <c r="J85" i="36" s="1"/>
  <c r="F79" i="36"/>
  <c r="J73" i="36"/>
  <c r="J79" i="36" s="1"/>
  <c r="J62" i="36"/>
  <c r="F84" i="36"/>
  <c r="F68" i="36"/>
  <c r="J32" i="36"/>
  <c r="F89" i="36"/>
  <c r="J89" i="36" s="1"/>
  <c r="J67" i="36"/>
  <c r="J20" i="36"/>
  <c r="J34" i="36" s="1"/>
  <c r="J68" i="36" l="1"/>
  <c r="J84" i="36"/>
  <c r="J91" i="36" s="1"/>
  <c r="F93" i="36" s="1"/>
  <c r="F91" i="36"/>
  <c r="C91" i="12" l="1"/>
  <c r="C23" i="35"/>
  <c r="D16" i="35"/>
  <c r="E16" i="35"/>
  <c r="C16" i="35"/>
  <c r="F10" i="35"/>
  <c r="H10" i="35" s="1"/>
  <c r="F11" i="35"/>
  <c r="H11" i="35" s="1"/>
  <c r="H23" i="35"/>
  <c r="H7" i="35"/>
  <c r="F7" i="35" s="1"/>
  <c r="E7" i="35" s="1"/>
  <c r="D7" i="35" s="1"/>
  <c r="C7" i="35" s="1"/>
  <c r="A6" i="35"/>
  <c r="D4" i="35"/>
  <c r="A4" i="35"/>
  <c r="E37" i="12"/>
  <c r="F37" i="12"/>
  <c r="D19" i="24"/>
  <c r="D31" i="24"/>
  <c r="D21" i="35" s="1"/>
  <c r="G26" i="24"/>
  <c r="F26" i="24"/>
  <c r="E26" i="24"/>
  <c r="D26" i="24"/>
  <c r="D24" i="24"/>
  <c r="F13" i="23"/>
  <c r="E15" i="23"/>
  <c r="D25" i="24" s="1"/>
  <c r="F18" i="23"/>
  <c r="D19" i="35" s="1"/>
  <c r="D139" i="32"/>
  <c r="B15" i="37" s="1"/>
  <c r="A107" i="32"/>
  <c r="A53" i="32"/>
  <c r="A115" i="32"/>
  <c r="D115" i="32"/>
  <c r="D107" i="32"/>
  <c r="D99" i="32"/>
  <c r="H115" i="32"/>
  <c r="G115" i="32"/>
  <c r="F115" i="32"/>
  <c r="E115" i="32"/>
  <c r="H107" i="32"/>
  <c r="G107" i="32"/>
  <c r="F107" i="32"/>
  <c r="E107" i="32"/>
  <c r="F99" i="32"/>
  <c r="E99" i="32"/>
  <c r="H99" i="32"/>
  <c r="G99" i="32"/>
  <c r="D18" i="32"/>
  <c r="G118" i="32" l="1"/>
  <c r="H118" i="32"/>
  <c r="F118" i="32"/>
  <c r="H16" i="35"/>
  <c r="F16" i="35"/>
  <c r="D25" i="35"/>
  <c r="D118" i="32"/>
  <c r="E118" i="32"/>
  <c r="I14" i="12"/>
  <c r="D37" i="12" s="1"/>
  <c r="D99" i="12" l="1"/>
  <c r="D37" i="24"/>
  <c r="D34" i="24" s="1"/>
  <c r="G13" i="23" l="1"/>
  <c r="G15" i="23" l="1"/>
  <c r="E25" i="24" s="1"/>
  <c r="E24" i="24"/>
  <c r="E37" i="24"/>
  <c r="E34" i="24" s="1"/>
  <c r="F46" i="12" l="1"/>
  <c r="H46" i="12" s="1"/>
  <c r="F37" i="24"/>
  <c r="G37" i="24" s="1"/>
  <c r="G34" i="24" l="1"/>
  <c r="F34" i="24"/>
  <c r="H35" i="12" l="1"/>
  <c r="H34" i="12"/>
  <c r="H36" i="12"/>
  <c r="H40" i="12"/>
  <c r="H37" i="12" l="1"/>
  <c r="F73" i="12" l="1"/>
  <c r="H99" i="12"/>
  <c r="F26" i="32" l="1"/>
  <c r="E26" i="32"/>
  <c r="E28" i="32" s="1"/>
  <c r="D26" i="32"/>
  <c r="F40" i="12" l="1"/>
  <c r="H73" i="12"/>
  <c r="C99" i="12" l="1"/>
  <c r="M67" i="29" l="1"/>
  <c r="M66" i="29"/>
  <c r="M65" i="29"/>
  <c r="M64" i="29"/>
  <c r="M51" i="29"/>
  <c r="M50" i="29"/>
  <c r="M49" i="29"/>
  <c r="M48" i="29"/>
  <c r="M13" i="29"/>
  <c r="M11" i="29"/>
  <c r="M29" i="29"/>
  <c r="M27" i="29"/>
  <c r="M28" i="29"/>
  <c r="M26" i="29"/>
  <c r="M12" i="29"/>
  <c r="M10" i="29"/>
  <c r="E11" i="12" l="1"/>
  <c r="E7" i="12"/>
  <c r="K6" i="28" l="1"/>
  <c r="D2" i="32" l="1"/>
  <c r="E2" i="32" s="1"/>
  <c r="F2" i="32" s="1"/>
  <c r="G2" i="32" s="1"/>
  <c r="H2" i="32" s="1"/>
  <c r="D20" i="32"/>
  <c r="E18" i="32"/>
  <c r="E20" i="32" s="1"/>
  <c r="F18" i="32"/>
  <c r="F20" i="32" s="1"/>
  <c r="G18" i="32"/>
  <c r="G20" i="32" s="1"/>
  <c r="H18" i="32"/>
  <c r="H20" i="32" s="1"/>
  <c r="D28" i="32"/>
  <c r="F28" i="32"/>
  <c r="D53" i="32"/>
  <c r="E53" i="32"/>
  <c r="F53" i="32"/>
  <c r="G46" i="32"/>
  <c r="G55" i="32" s="1"/>
  <c r="H46" i="32"/>
  <c r="H55" i="32" s="1"/>
  <c r="D72" i="32"/>
  <c r="E72" i="32"/>
  <c r="F72" i="32"/>
  <c r="D87" i="32"/>
  <c r="E87" i="32"/>
  <c r="F87" i="32"/>
  <c r="G87" i="32"/>
  <c r="G89" i="32" s="1"/>
  <c r="H87" i="32"/>
  <c r="H89" i="32" s="1"/>
  <c r="E139" i="32"/>
  <c r="C15" i="37" s="1"/>
  <c r="F139" i="32"/>
  <c r="D15" i="37" s="1"/>
  <c r="G139" i="32"/>
  <c r="H139" i="32"/>
  <c r="E89" i="32" l="1"/>
  <c r="H122" i="32"/>
  <c r="F89" i="32"/>
  <c r="D89" i="32"/>
  <c r="G122" i="32"/>
  <c r="D21" i="23" l="1"/>
  <c r="C17" i="24" s="1"/>
  <c r="H3" i="28" l="1"/>
  <c r="L3" i="28" s="1"/>
  <c r="A6" i="28"/>
  <c r="D20" i="30"/>
  <c r="D19" i="30"/>
  <c r="D18" i="30"/>
  <c r="D17" i="30"/>
  <c r="F12" i="30"/>
  <c r="D12" i="30"/>
  <c r="F11" i="30"/>
  <c r="D11" i="30"/>
  <c r="D33" i="30" s="1"/>
  <c r="F10" i="30"/>
  <c r="D10" i="30"/>
  <c r="F9" i="30"/>
  <c r="D9" i="30"/>
  <c r="D31" i="30" s="1"/>
  <c r="G39" i="29"/>
  <c r="K56" i="28"/>
  <c r="G55" i="28"/>
  <c r="K55" i="28" s="1"/>
  <c r="K54" i="28"/>
  <c r="K53" i="28"/>
  <c r="K52" i="28"/>
  <c r="K51" i="28"/>
  <c r="K43" i="28"/>
  <c r="K42" i="28"/>
  <c r="K32" i="28"/>
  <c r="K31" i="28"/>
  <c r="K30" i="28"/>
  <c r="K29" i="28"/>
  <c r="K28" i="28"/>
  <c r="K27" i="28"/>
  <c r="K19" i="28"/>
  <c r="K18" i="28"/>
  <c r="K17" i="28"/>
  <c r="K16" i="28"/>
  <c r="K15" i="28"/>
  <c r="K33" i="28" l="1"/>
  <c r="D21" i="30"/>
  <c r="D25" i="30" s="1"/>
  <c r="I53" i="29"/>
  <c r="F13" i="30"/>
  <c r="D26" i="30"/>
  <c r="D34" i="30" s="1"/>
  <c r="D13" i="30"/>
  <c r="I15" i="29"/>
  <c r="I31" i="29"/>
  <c r="I69" i="29"/>
  <c r="K44" i="28"/>
  <c r="K20" i="28"/>
  <c r="K57" i="28"/>
  <c r="K34" i="28"/>
  <c r="K58" i="28"/>
  <c r="C13" i="24" l="1"/>
  <c r="C15" i="24"/>
  <c r="D22" i="23"/>
  <c r="K61" i="28"/>
  <c r="O20" i="28" s="1"/>
  <c r="P21" i="28" s="1"/>
  <c r="C13" i="23" s="1"/>
  <c r="K62" i="28"/>
  <c r="D27" i="30"/>
  <c r="D32" i="30"/>
  <c r="F17" i="24"/>
  <c r="G17" i="24" s="1"/>
  <c r="C8" i="24"/>
  <c r="D8" i="24" s="1"/>
  <c r="E8" i="24" s="1"/>
  <c r="F8" i="24" s="1"/>
  <c r="G8" i="24" s="1"/>
  <c r="A7" i="24"/>
  <c r="F5" i="24"/>
  <c r="D5" i="24"/>
  <c r="A5" i="24"/>
  <c r="I13" i="23"/>
  <c r="L8" i="23"/>
  <c r="J8" i="23" s="1"/>
  <c r="H8" i="23" s="1"/>
  <c r="F8" i="23" s="1"/>
  <c r="D8" i="23" s="1"/>
  <c r="A7" i="23"/>
  <c r="J5" i="23"/>
  <c r="E5" i="23"/>
  <c r="A5" i="23"/>
  <c r="D13" i="23" l="1"/>
  <c r="F24" i="24"/>
  <c r="I15" i="23"/>
  <c r="F25" i="24" s="1"/>
  <c r="C24" i="24"/>
  <c r="F13" i="24"/>
  <c r="G13" i="24" s="1"/>
  <c r="C19" i="24"/>
  <c r="C12" i="24"/>
  <c r="E12" i="24"/>
  <c r="F12" i="24" s="1"/>
  <c r="G12" i="24" s="1"/>
  <c r="O44" i="28"/>
  <c r="P44" i="28" s="1"/>
  <c r="E19" i="24"/>
  <c r="M53" i="29"/>
  <c r="E14" i="24"/>
  <c r="F14" i="24" s="1"/>
  <c r="G14" i="24" s="1"/>
  <c r="F15" i="24"/>
  <c r="G15" i="24" s="1"/>
  <c r="C14" i="24"/>
  <c r="K53" i="29"/>
  <c r="K15" i="29"/>
  <c r="M15" i="29"/>
  <c r="O57" i="28"/>
  <c r="P57" i="28" s="1"/>
  <c r="O33" i="28"/>
  <c r="P34" i="28" s="1"/>
  <c r="C15" i="23" s="1"/>
  <c r="C25" i="24" s="1"/>
  <c r="K13" i="23"/>
  <c r="M69" i="29"/>
  <c r="D35" i="30"/>
  <c r="K69" i="29"/>
  <c r="M31" i="29"/>
  <c r="K31" i="29"/>
  <c r="H119" i="12"/>
  <c r="F119" i="12"/>
  <c r="E119" i="12"/>
  <c r="D119" i="12"/>
  <c r="H117" i="12"/>
  <c r="F117" i="12"/>
  <c r="E117" i="12"/>
  <c r="D117" i="12"/>
  <c r="H115" i="12"/>
  <c r="F115" i="12"/>
  <c r="E115" i="12"/>
  <c r="D115" i="12"/>
  <c r="H113" i="12"/>
  <c r="F113" i="12"/>
  <c r="E113" i="12"/>
  <c r="D113" i="12"/>
  <c r="E112" i="12"/>
  <c r="D112" i="12"/>
  <c r="C119" i="12"/>
  <c r="C117" i="12"/>
  <c r="C115" i="12"/>
  <c r="C113" i="12"/>
  <c r="C112" i="12"/>
  <c r="F107" i="12"/>
  <c r="E107" i="12"/>
  <c r="D107" i="12"/>
  <c r="C107" i="12"/>
  <c r="C29" i="24" l="1"/>
  <c r="E29" i="24"/>
  <c r="E97" i="12" s="1"/>
  <c r="E31" i="24"/>
  <c r="E21" i="35" s="1"/>
  <c r="C18" i="23"/>
  <c r="K15" i="23"/>
  <c r="G25" i="24" s="1"/>
  <c r="G24" i="24"/>
  <c r="D15" i="23"/>
  <c r="C95" i="12" s="1"/>
  <c r="C97" i="12"/>
  <c r="D29" i="24"/>
  <c r="D97" i="12" s="1"/>
  <c r="O61" i="28"/>
  <c r="P61" i="28" s="1"/>
  <c r="F19" i="24"/>
  <c r="G19" i="24"/>
  <c r="G31" i="24" s="1"/>
  <c r="H21" i="35" s="1"/>
  <c r="F33" i="30"/>
  <c r="F31" i="30"/>
  <c r="F34" i="30"/>
  <c r="F32" i="30"/>
  <c r="D14" i="12"/>
  <c r="C37" i="12" s="1"/>
  <c r="C14" i="12"/>
  <c r="D12" i="12"/>
  <c r="C12" i="12"/>
  <c r="C16" i="12" s="1"/>
  <c r="F11" i="12"/>
  <c r="F10" i="12"/>
  <c r="F9" i="12"/>
  <c r="E8" i="12"/>
  <c r="F8" i="12" s="1"/>
  <c r="F7" i="12"/>
  <c r="D18" i="23" l="1"/>
  <c r="C19" i="35" s="1"/>
  <c r="C26" i="24"/>
  <c r="C31" i="24" s="1"/>
  <c r="C21" i="35" s="1"/>
  <c r="C31" i="12"/>
  <c r="F29" i="24"/>
  <c r="F97" i="12" s="1"/>
  <c r="F31" i="24"/>
  <c r="F21" i="35" s="1"/>
  <c r="C32" i="12"/>
  <c r="G29" i="24"/>
  <c r="H97" i="12" s="1"/>
  <c r="F35" i="30"/>
  <c r="D16" i="12"/>
  <c r="E14" i="12"/>
  <c r="F14" i="12" s="1"/>
  <c r="E12" i="12"/>
  <c r="I12" i="12"/>
  <c r="C33" i="12" l="1"/>
  <c r="C55" i="12" s="1"/>
  <c r="C70" i="12" s="1"/>
  <c r="C75" i="12" s="1"/>
  <c r="C25" i="35"/>
  <c r="E16" i="12"/>
  <c r="D32" i="12"/>
  <c r="D31" i="12"/>
  <c r="D33" i="12" s="1"/>
  <c r="D55" i="12" s="1"/>
  <c r="F16" i="12"/>
  <c r="F12" i="12"/>
  <c r="I16" i="12"/>
  <c r="D70" i="12" l="1"/>
  <c r="D75" i="12" s="1"/>
  <c r="D7" i="15"/>
  <c r="I4" i="35" s="1"/>
  <c r="A27" i="12"/>
  <c r="A25" i="12"/>
  <c r="D25" i="12"/>
  <c r="H28" i="12"/>
  <c r="F28" i="12" s="1"/>
  <c r="E28" i="12" s="1"/>
  <c r="D28" i="12" s="1"/>
  <c r="C28" i="12" s="1"/>
  <c r="C6" i="12" s="1"/>
  <c r="D6" i="12" s="1"/>
  <c r="E6" i="12" s="1"/>
  <c r="I6" i="12" s="1"/>
  <c r="F112" i="12"/>
  <c r="H91" i="12"/>
  <c r="F91" i="12"/>
  <c r="E91" i="12"/>
  <c r="D91" i="12"/>
  <c r="I25" i="12" l="1"/>
  <c r="C93" i="12"/>
  <c r="C101" i="12" s="1"/>
  <c r="C124" i="12" s="1"/>
  <c r="H112" i="12"/>
  <c r="D34" i="32" l="1"/>
  <c r="D42" i="32" l="1"/>
  <c r="D46" i="32" s="1"/>
  <c r="D55" i="32" s="1"/>
  <c r="D122" i="32" s="1"/>
  <c r="D93" i="12"/>
  <c r="F15" i="23" l="1"/>
  <c r="J22" i="23"/>
  <c r="H13" i="23"/>
  <c r="H15" i="23"/>
  <c r="E95" i="12" l="1"/>
  <c r="D95" i="12"/>
  <c r="D101" i="12" s="1"/>
  <c r="D124" i="12" s="1"/>
  <c r="J13" i="23"/>
  <c r="L22" i="23"/>
  <c r="J15" i="23"/>
  <c r="F95" i="12" s="1"/>
  <c r="E34" i="32" l="1"/>
  <c r="E42" i="32" s="1"/>
  <c r="L13" i="23"/>
  <c r="L15" i="23"/>
  <c r="H95" i="12" s="1"/>
  <c r="L18" i="23"/>
  <c r="H19" i="35" s="1"/>
  <c r="H25" i="35" s="1"/>
  <c r="J18" i="23"/>
  <c r="F19" i="35" s="1"/>
  <c r="F25" i="35" s="1"/>
  <c r="H18" i="23"/>
  <c r="E19" i="35" s="1"/>
  <c r="E25" i="35" s="1"/>
  <c r="E46" i="32" l="1"/>
  <c r="E55" i="32" s="1"/>
  <c r="E122" i="32" l="1"/>
  <c r="H107" i="12"/>
  <c r="E55" i="12" l="1"/>
  <c r="E70" i="12" s="1"/>
  <c r="E75" i="12" s="1"/>
  <c r="E93" i="12" s="1"/>
  <c r="E101" i="12" s="1"/>
  <c r="E124" i="12" s="1"/>
  <c r="E31" i="12"/>
  <c r="F34" i="32" l="1"/>
  <c r="F42" i="32" s="1"/>
  <c r="F46" i="32" s="1"/>
  <c r="F55" i="32" s="1"/>
  <c r="F122" i="32" s="1"/>
  <c r="E32" i="12"/>
  <c r="F31" i="12"/>
  <c r="H31" i="12" s="1"/>
  <c r="F32" i="12" l="1"/>
  <c r="F33" i="12" s="1"/>
  <c r="F55" i="12" s="1"/>
  <c r="F70" i="12" s="1"/>
  <c r="F75" i="12" s="1"/>
  <c r="F93" i="12" s="1"/>
  <c r="F101" i="12" s="1"/>
  <c r="F124" i="12" s="1"/>
  <c r="H32" i="12" l="1"/>
  <c r="H33" i="12" s="1"/>
  <c r="H55" i="12" s="1"/>
  <c r="H70" i="12" s="1"/>
  <c r="H75" i="12" s="1"/>
  <c r="H93" i="12" s="1"/>
  <c r="H101" i="12" s="1"/>
  <c r="H124"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O'Neill, John J</author>
  </authors>
  <commentList>
    <comment ref="E13" authorId="0" shapeId="0" xr:uid="{00000000-0006-0000-0A00-000001000000}">
      <text>
        <r>
          <rPr>
            <b/>
            <sz val="9"/>
            <color indexed="81"/>
            <rFont val="Tahoma"/>
            <family val="2"/>
          </rPr>
          <t>Note:</t>
        </r>
        <r>
          <rPr>
            <sz val="9"/>
            <color indexed="81"/>
            <rFont val="Tahoma"/>
            <family val="2"/>
          </rPr>
          <t xml:space="preserve">
</t>
        </r>
        <r>
          <rPr>
            <b/>
            <sz val="9"/>
            <color indexed="81"/>
            <rFont val="Tahoma"/>
            <family val="2"/>
          </rPr>
          <t>Estimate Proportionality for this year and enter GR percentage estimate number here</t>
        </r>
      </text>
    </comment>
    <comment ref="G13" authorId="0" shapeId="0" xr:uid="{00000000-0006-0000-0A00-000002000000}">
      <text>
        <r>
          <rPr>
            <b/>
            <sz val="9"/>
            <color indexed="81"/>
            <rFont val="Tahoma"/>
            <family val="2"/>
          </rPr>
          <t>Note:
Estimate Proportionality for this year and enter GR percentage estimate number here</t>
        </r>
        <r>
          <rPr>
            <sz val="9"/>
            <color indexed="81"/>
            <rFont val="Tahoma"/>
            <family val="2"/>
          </rPr>
          <t xml:space="preserve">
</t>
        </r>
      </text>
    </comment>
    <comment ref="E18" authorId="0" shapeId="0" xr:uid="{00000000-0006-0000-0A00-000003000000}">
      <text>
        <r>
          <rPr>
            <b/>
            <sz val="9"/>
            <color indexed="81"/>
            <rFont val="Tahoma"/>
            <family val="2"/>
          </rPr>
          <t>Note: Estimate patient income if applicable</t>
        </r>
      </text>
    </comment>
    <comment ref="G18" authorId="0" shapeId="0" xr:uid="{00000000-0006-0000-0A00-000004000000}">
      <text>
        <r>
          <rPr>
            <b/>
            <sz val="9"/>
            <color indexed="81"/>
            <rFont val="Tahoma"/>
            <family val="2"/>
          </rPr>
          <t>Note: Estimate patient income if applicable</t>
        </r>
      </text>
    </comment>
    <comment ref="I18" authorId="0" shapeId="0" xr:uid="{00000000-0006-0000-0A00-000005000000}">
      <text>
        <r>
          <rPr>
            <b/>
            <sz val="9"/>
            <color indexed="81"/>
            <rFont val="Tahoma"/>
            <family val="2"/>
          </rPr>
          <t>Note: Estimate patient income if applicable</t>
        </r>
      </text>
    </comment>
    <comment ref="K18" authorId="0" shapeId="0" xr:uid="{00000000-0006-0000-0A00-000006000000}">
      <text>
        <r>
          <rPr>
            <b/>
            <sz val="9"/>
            <color indexed="81"/>
            <rFont val="Tahoma"/>
            <family val="2"/>
          </rPr>
          <t>Note: Estimate patient income if applicable</t>
        </r>
      </text>
    </comment>
    <comment ref="F21" authorId="0" shapeId="0" xr:uid="{00000000-0006-0000-0A00-000007000000}">
      <text>
        <r>
          <rPr>
            <b/>
            <sz val="9"/>
            <color indexed="81"/>
            <rFont val="Tahoma"/>
            <family val="2"/>
          </rPr>
          <t>Note: TAMU does not estimate this for future years</t>
        </r>
        <r>
          <rPr>
            <sz val="9"/>
            <color indexed="81"/>
            <rFont val="Tahoma"/>
            <family val="2"/>
          </rPr>
          <t xml:space="preserve">
</t>
        </r>
      </text>
    </comment>
    <comment ref="H21" authorId="0" shapeId="0" xr:uid="{00000000-0006-0000-0A00-000008000000}">
      <text>
        <r>
          <rPr>
            <b/>
            <sz val="9"/>
            <color indexed="81"/>
            <rFont val="Tahoma"/>
            <family val="2"/>
          </rPr>
          <t>Note: TAMU does not estimate this for future years</t>
        </r>
        <r>
          <rPr>
            <sz val="9"/>
            <color indexed="81"/>
            <rFont val="Tahoma"/>
            <family val="2"/>
          </rPr>
          <t xml:space="preserve">
</t>
        </r>
      </text>
    </comment>
    <comment ref="J21" authorId="0" shapeId="0" xr:uid="{00000000-0006-0000-0A00-000009000000}">
      <text>
        <r>
          <rPr>
            <b/>
            <sz val="9"/>
            <color indexed="81"/>
            <rFont val="Tahoma"/>
            <family val="2"/>
          </rPr>
          <t>Note: TAMU does not estimate this for future years</t>
        </r>
        <r>
          <rPr>
            <sz val="9"/>
            <color indexed="81"/>
            <rFont val="Tahoma"/>
            <family val="2"/>
          </rPr>
          <t xml:space="preserve">
</t>
        </r>
      </text>
    </comment>
    <comment ref="L21" authorId="0" shapeId="0" xr:uid="{00000000-0006-0000-0A00-00000A000000}">
      <text>
        <r>
          <rPr>
            <b/>
            <sz val="9"/>
            <color indexed="81"/>
            <rFont val="Tahoma"/>
            <family val="2"/>
          </rPr>
          <t>Note: TAMU does not estimate this for future years</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O'Neill, John J</author>
  </authors>
  <commentList>
    <comment ref="G17" authorId="0" shapeId="0" xr:uid="{00000000-0006-0000-0C00-000001000000}">
      <text>
        <r>
          <rPr>
            <b/>
            <sz val="9"/>
            <color indexed="81"/>
            <rFont val="Tahoma"/>
            <family val="2"/>
          </rPr>
          <t>Growth Assumption:</t>
        </r>
        <r>
          <rPr>
            <sz val="9"/>
            <color indexed="81"/>
            <rFont val="Tahoma"/>
            <family val="2"/>
          </rPr>
          <t xml:space="preserve">
This percentage for the last biennium went down in the second year to a 2% growth rate - for template, I used 3% across the board.</t>
        </r>
      </text>
    </comment>
    <comment ref="C37" authorId="0" shapeId="0" xr:uid="{00000000-0006-0000-0C00-000002000000}">
      <text>
        <r>
          <rPr>
            <sz val="9"/>
            <color indexed="81"/>
            <rFont val="Tahoma"/>
            <family val="2"/>
          </rPr>
          <t xml:space="preserve">Includes all sources for ORP Differential
</t>
        </r>
      </text>
    </comment>
  </commentList>
</comments>
</file>

<file path=xl/sharedStrings.xml><?xml version="1.0" encoding="utf-8"?>
<sst xmlns="http://schemas.openxmlformats.org/spreadsheetml/2006/main" count="943" uniqueCount="558">
  <si>
    <t>Schedule 1</t>
  </si>
  <si>
    <t>APS 011 E&amp;G tuition</t>
  </si>
  <si>
    <t>Actual</t>
  </si>
  <si>
    <t>Estimated</t>
  </si>
  <si>
    <t>Budgeted</t>
  </si>
  <si>
    <t>Est</t>
  </si>
  <si>
    <t>Description</t>
  </si>
  <si>
    <t>NOTES</t>
  </si>
  <si>
    <t>Tuition and Fees</t>
  </si>
  <si>
    <t>Gross Resident Tuition</t>
  </si>
  <si>
    <t>Gross Nonresident Tuition</t>
  </si>
  <si>
    <t xml:space="preserve">    Gross Tuition1</t>
  </si>
  <si>
    <t xml:space="preserve">         b. Refunds</t>
  </si>
  <si>
    <t xml:space="preserve">         c. Installment Payment Forfeits</t>
  </si>
  <si>
    <t xml:space="preserve">         d. Board Authorized Tuition Increases (TX. Educ. Code Ann. Sec.</t>
  </si>
  <si>
    <t xml:space="preserve">         e. Tuition increases charged to doctoral students with hours in</t>
  </si>
  <si>
    <t xml:space="preserve">             excess of 100 (TX. Educ. Code Ann. Sec. 54.012)</t>
  </si>
  <si>
    <t xml:space="preserve">         f. Tuition increases charged to undergraduate students with </t>
  </si>
  <si>
    <t xml:space="preserve">             excessive hours above degree requirements (TX. Educ. Code Ann.</t>
  </si>
  <si>
    <t xml:space="preserve">         g. Tuition rebates for certain undergraduates (TX. Educ. Code Ann.</t>
  </si>
  <si>
    <t>We show these regardless of funding source (some is DT).  Education code says we are to receive GR for every $ in tuition rebates that we pay.  They do this by reducing our OE&amp;G income.  It's not $ for $ though.</t>
  </si>
  <si>
    <t xml:space="preserve">              Sec. 54.0065)</t>
  </si>
  <si>
    <t xml:space="preserve">         h.  Tuition for repeated or excessive hours (TX Educ. Code Ann. </t>
  </si>
  <si>
    <t xml:space="preserve">              Sec. 54.014)</t>
  </si>
  <si>
    <t>Plus:   i. Tuition waived for Students 55 Years or Older (TX. Educ. Code</t>
  </si>
  <si>
    <t xml:space="preserve">             Ann. Sec. 54.013)</t>
  </si>
  <si>
    <t xml:space="preserve">           j. Tuition waived for Texas Grant Recipients (TX. Educ. Code Ann.</t>
  </si>
  <si>
    <t>Subtotal</t>
  </si>
  <si>
    <t>Less.   a. Transfer of Tuition to Retirement of Indebtedness:</t>
  </si>
  <si>
    <t xml:space="preserve">           b. Transfer of funds for Texas Public Education Grants Program</t>
  </si>
  <si>
    <t xml:space="preserve">               (Tex. Educ. Code Ann. Sec. 56c) and for Emergency Loans (Tex.</t>
  </si>
  <si>
    <t xml:space="preserve">           c. Transfer of Funds (2%) for Emergency Loans (Medical School)</t>
  </si>
  <si>
    <t xml:space="preserve">           d. Transfer of Funds for Repayment of Student Loans of</t>
  </si>
  <si>
    <t xml:space="preserve">               Physicians (Tx Educ Code Ann Sec 61.539)</t>
  </si>
  <si>
    <t xml:space="preserve">           e. Statutory Tuition (Tx. Educ. Code Ann. Sec. 54.051) Set Aside for</t>
  </si>
  <si>
    <t xml:space="preserve">               Doctoral Incentive Loan Repayment Program (Tx. Educ. Code Ann. </t>
  </si>
  <si>
    <t xml:space="preserve">               Sec. 56.095)</t>
  </si>
  <si>
    <t xml:space="preserve">           f. Other Authorized Deductions (Itemize and provide Vernon's</t>
  </si>
  <si>
    <t xml:space="preserve">               citation)</t>
  </si>
  <si>
    <t xml:space="preserve">           </t>
  </si>
  <si>
    <t>Net Tuition</t>
  </si>
  <si>
    <t>Student Teaching Fees</t>
  </si>
  <si>
    <t>Special Course Fees</t>
  </si>
  <si>
    <t>Subtotal, Tuition and Fees (Formula Amounts for Health-Related Institutions)</t>
  </si>
  <si>
    <t>Other Income</t>
  </si>
  <si>
    <t>Interest on General Funds:</t>
  </si>
  <si>
    <t xml:space="preserve">           a. Local Funds in State Treasury</t>
  </si>
  <si>
    <t xml:space="preserve">           b. Funds in Local Depositories, e.g., local amounts</t>
  </si>
  <si>
    <t>Other Income (Itemize)</t>
  </si>
  <si>
    <t xml:space="preserve">         Misc</t>
  </si>
  <si>
    <t xml:space="preserve">         Federal Land Grand Endowment</t>
  </si>
  <si>
    <t xml:space="preserve">         Sales and Services</t>
  </si>
  <si>
    <t xml:space="preserve">           Vet Med</t>
  </si>
  <si>
    <t xml:space="preserve">           Surplus</t>
  </si>
  <si>
    <t xml:space="preserve">           Other</t>
  </si>
  <si>
    <t>Subtotal, Other Income</t>
  </si>
  <si>
    <t>Subtotal, Other Educational, General and Patient Income</t>
  </si>
  <si>
    <t>Less:   O.A.S.I. Applicable to Educational and General Local Funds</t>
  </si>
  <si>
    <t>Less:   Teachers Retirement System and ORP Proportionality for</t>
  </si>
  <si>
    <t>Less:   Staff group insurance Premiums</t>
  </si>
  <si>
    <t>TOTAL, OTHER EDUCATIONAL, GENERAL AND PATIENT INCOME (Formula</t>
  </si>
  <si>
    <t xml:space="preserve">                Excess of 100</t>
  </si>
  <si>
    <t xml:space="preserve">                Ann. Sec. 54.014)</t>
  </si>
  <si>
    <t>Total, Other Educational, General and Patient Income Reported on</t>
  </si>
  <si>
    <t>Summary of Request</t>
  </si>
  <si>
    <t>Total</t>
  </si>
  <si>
    <t>Waivers</t>
  </si>
  <si>
    <t>Tuition Bad Debt*</t>
  </si>
  <si>
    <t>Gross Tuition for Schedule 1</t>
  </si>
  <si>
    <t>Net</t>
  </si>
  <si>
    <t xml:space="preserve">Prepared By: </t>
  </si>
  <si>
    <r>
      <t xml:space="preserve">             54.008)</t>
    </r>
    <r>
      <rPr>
        <vertAlign val="superscript"/>
        <sz val="10"/>
        <rFont val="Arial"/>
        <family val="2"/>
      </rPr>
      <t>3</t>
    </r>
  </si>
  <si>
    <r>
      <t xml:space="preserve">             Sec. 61.0595)</t>
    </r>
    <r>
      <rPr>
        <vertAlign val="superscript"/>
        <sz val="10"/>
        <rFont val="Arial"/>
        <family val="2"/>
      </rPr>
      <t>4</t>
    </r>
  </si>
  <si>
    <r>
      <t xml:space="preserve">              Sec. 54.307)</t>
    </r>
    <r>
      <rPr>
        <vertAlign val="superscript"/>
        <sz val="10"/>
        <rFont val="Arial"/>
        <family val="2"/>
      </rPr>
      <t>5</t>
    </r>
  </si>
  <si>
    <r>
      <t xml:space="preserve">               1) Skiles Act</t>
    </r>
    <r>
      <rPr>
        <vertAlign val="superscript"/>
        <sz val="10"/>
        <rFont val="Arial"/>
        <family val="2"/>
      </rPr>
      <t>6</t>
    </r>
  </si>
  <si>
    <r>
      <t xml:space="preserve">               Educ. Code Ann. Sec. 56d)</t>
    </r>
    <r>
      <rPr>
        <vertAlign val="superscript"/>
        <sz val="10"/>
        <rFont val="Arial"/>
        <family val="2"/>
      </rPr>
      <t>6</t>
    </r>
  </si>
  <si>
    <r>
      <t xml:space="preserve">           Payrolls</t>
    </r>
    <r>
      <rPr>
        <vertAlign val="superscript"/>
        <sz val="10"/>
        <rFont val="Arial"/>
        <family val="2"/>
      </rPr>
      <t>8</t>
    </r>
  </si>
  <si>
    <r>
      <t xml:space="preserve">           Educational and General Funds</t>
    </r>
    <r>
      <rPr>
        <vertAlign val="superscript"/>
        <sz val="10"/>
        <rFont val="Arial"/>
        <family val="2"/>
      </rPr>
      <t>9</t>
    </r>
  </si>
  <si>
    <r>
      <t xml:space="preserve">    Amounts for General Academic Institutions)</t>
    </r>
    <r>
      <rPr>
        <vertAlign val="superscript"/>
        <sz val="10"/>
        <rFont val="Arial"/>
        <family val="2"/>
      </rPr>
      <t>10</t>
    </r>
  </si>
  <si>
    <t>Gross / Net Tuition for Schedule 1</t>
  </si>
  <si>
    <t>What is your name?</t>
  </si>
  <si>
    <t>Prepared by:</t>
  </si>
  <si>
    <t>What is your Agency Code?</t>
  </si>
  <si>
    <t>Name of Agency:</t>
  </si>
  <si>
    <t>Agency Code:</t>
  </si>
  <si>
    <t>What is the name of your Institution?</t>
  </si>
  <si>
    <t>INPUTS</t>
  </si>
  <si>
    <t>Worksheet Area</t>
  </si>
  <si>
    <t>Additional notes for this schedule can be added here: (press alt and enter within the box to go to the next line for more entry)</t>
  </si>
  <si>
    <t>CHECKLIST COLUMN:  If after checking, this is TRUE, please WRITE TRUE.  If it is not TRUE, WRITE FALSE AND WORK ON FIXING</t>
  </si>
  <si>
    <t>TRUE or FALSE</t>
  </si>
  <si>
    <t>2.) Board Authorized Tuition (Sec. 54.008) reported excludes remissions and exemptions.</t>
  </si>
  <si>
    <t xml:space="preserve">4.) OASI ties to Schedule 4 </t>
  </si>
  <si>
    <t>5.) TRS/ORP ties to Schedule 5</t>
  </si>
  <si>
    <t>6.) TPEG(1A)/Medical Loans (1B) Tie to Strategy Requests</t>
  </si>
  <si>
    <t>7.) No Skiles should be reported.</t>
  </si>
  <si>
    <t>8.) Staff Group Insurance ties to Strategy Requests (For HRIs, this is in combination with the amount on Schedule 1B)</t>
  </si>
  <si>
    <t>9.) Interest on General Funds ties to Schedule 7</t>
  </si>
  <si>
    <t>MORE ITEMS CAN BE INSERTED HERE FOR YOUR INSTITUTION</t>
  </si>
  <si>
    <t>Verify the following items</t>
  </si>
  <si>
    <t>Questions regarding this schedule that need to be answered?</t>
  </si>
  <si>
    <t>Instructions: FILL IN THE WHITE BOXES IN THIS WORKSHEET AREA</t>
  </si>
  <si>
    <t xml:space="preserve">     Schedule 1</t>
  </si>
  <si>
    <t xml:space="preserve">     Schedule 2</t>
  </si>
  <si>
    <t>Prepared on:</t>
  </si>
  <si>
    <t>What is today's date?</t>
  </si>
  <si>
    <t>Schedule 4</t>
  </si>
  <si>
    <t>Realized</t>
  </si>
  <si>
    <t>Proportionality % Based on Comptroller</t>
  </si>
  <si>
    <t xml:space="preserve">% to </t>
  </si>
  <si>
    <t>Allocation</t>
  </si>
  <si>
    <t>Accounting Policy Statement #11, Exhibit 2</t>
  </si>
  <si>
    <t>of Total OASI</t>
  </si>
  <si>
    <t>General Revenue</t>
  </si>
  <si>
    <t>Other Educational and General Funds</t>
  </si>
  <si>
    <t xml:space="preserve"> GR  Excludable Amounts Per APS 11</t>
  </si>
  <si>
    <t xml:space="preserve">         Grand Total OASI</t>
  </si>
  <si>
    <t xml:space="preserve">Date: </t>
  </si>
  <si>
    <t>What is the growth rate you want to use for the next biennium? (Ex: 3%)</t>
  </si>
  <si>
    <t>What E&amp;G Tuition increase percentage do you want to use for the estimate?</t>
  </si>
  <si>
    <r>
      <t xml:space="preserve">      </t>
    </r>
    <r>
      <rPr>
        <b/>
        <u/>
        <sz val="11"/>
        <color theme="1"/>
        <rFont val="Calibri"/>
        <family val="2"/>
        <scheme val="minor"/>
      </rPr>
      <t>Overall general questions</t>
    </r>
  </si>
  <si>
    <t xml:space="preserve">     Schedule 4</t>
  </si>
  <si>
    <t>What is the employer OASI rate for this year (Ex: 7.65%)?</t>
  </si>
  <si>
    <t>******* (FY Prior) &amp; (FY Current) Proportional Percentages are derived by using the (FY Current minus 2) GR amount.</t>
  </si>
  <si>
    <t>Schedule 5</t>
  </si>
  <si>
    <t xml:space="preserve">          Less: Excludable Amounts Per APS 11</t>
  </si>
  <si>
    <t xml:space="preserve">          ORP Subject to APS 11</t>
  </si>
  <si>
    <t xml:space="preserve">   Based on Comptroller Accounting Policy Statement #11, Exhibit 2</t>
  </si>
  <si>
    <t xml:space="preserve">   General Revenue</t>
  </si>
  <si>
    <t xml:space="preserve">   Other Educational And General Income</t>
  </si>
  <si>
    <t xml:space="preserve">  (Other E&amp;G Percent X Total Employer Contribution)</t>
  </si>
  <si>
    <t xml:space="preserve">    Gross Payroll Subject to Differential - Optional Retirement Program</t>
  </si>
  <si>
    <t>Total Differential</t>
  </si>
  <si>
    <t>Calculation of Retirement Proportionality and ORP Differential</t>
  </si>
  <si>
    <t xml:space="preserve">     Schedule 5</t>
  </si>
  <si>
    <t>Prepared By:</t>
  </si>
  <si>
    <t>Date:</t>
  </si>
  <si>
    <t>What is the budgeted TRS rate for next year?</t>
  </si>
  <si>
    <t>What is the budgeted ORP rate for next year?</t>
  </si>
  <si>
    <t>What is the expected Gross payroll subject to differential for ORP for next year?</t>
  </si>
  <si>
    <t>1.) Verify that propotions tie between Schedule 4 and Schedule 5 and FY (current biennium max year minus 3) for Schedule 3B</t>
  </si>
  <si>
    <t>2.) OASI and Proportionality amounts should tie to the amounts on Schedule 1A.</t>
  </si>
  <si>
    <t>AUTOMATIC FROM FORMULAS</t>
  </si>
  <si>
    <t>Not all tuition, exemptions and waivers are booked split between R and NR, so we allocate some based upon headcount or dollars, depending on what is most logical.</t>
  </si>
  <si>
    <t>Source</t>
  </si>
  <si>
    <t>AFR Tuition Reconciliation</t>
  </si>
  <si>
    <t>Explanation</t>
  </si>
  <si>
    <t>E&amp;G tuition</t>
  </si>
  <si>
    <t>APS011</t>
  </si>
  <si>
    <t>Exemptions</t>
  </si>
  <si>
    <t>AFR is net of waivers</t>
  </si>
  <si>
    <t>AFR does not include course repeats in Tuition, AFR includes on the Fee line</t>
  </si>
  <si>
    <t>Less Exemptions and Waivers for Sch 1</t>
  </si>
  <si>
    <t>AFR includes Course Repeats on the Fee Line</t>
  </si>
  <si>
    <t>APS 011 Proportionality</t>
  </si>
  <si>
    <t>APS 011 Prop from Sch 5</t>
  </si>
  <si>
    <t>APS 011 Prop from Sch 4</t>
  </si>
  <si>
    <r>
      <t>BENEFITS PROPORTIONAL BY FUND REPORT (</t>
    </r>
    <r>
      <rPr>
        <b/>
        <i/>
        <sz val="12"/>
        <rFont val="Arial"/>
        <family val="2"/>
      </rPr>
      <t>Institutions of Higher Education</t>
    </r>
    <r>
      <rPr>
        <b/>
        <sz val="12"/>
        <rFont val="Arial"/>
        <family val="2"/>
      </rPr>
      <t>)</t>
    </r>
  </si>
  <si>
    <t>Institution Name</t>
  </si>
  <si>
    <t>Agency Number</t>
  </si>
  <si>
    <t>SECTION I - FUNDING PROPORTIONALITY CALCULATION</t>
  </si>
  <si>
    <t>COLUMN 1</t>
  </si>
  <si>
    <t>COLUMN 2</t>
  </si>
  <si>
    <t>COLUMN 3</t>
  </si>
  <si>
    <t>COLUMN 4</t>
  </si>
  <si>
    <t>COLUMN 5</t>
  </si>
  <si>
    <t>GENERAL REVENUE            FINANCING SOURCES</t>
  </si>
  <si>
    <r>
      <t>FINANCING SOURCES    AMOUNT</t>
    </r>
    <r>
      <rPr>
        <b/>
        <vertAlign val="superscript"/>
        <sz val="8"/>
        <rFont val="Arial"/>
        <family val="2"/>
      </rPr>
      <t>2</t>
    </r>
  </si>
  <si>
    <t>-</t>
  </si>
  <si>
    <r>
      <t>EXCLUDE FUNDS WITH  SALARY RESTRICTIONS</t>
    </r>
    <r>
      <rPr>
        <b/>
        <vertAlign val="superscript"/>
        <sz val="8"/>
        <rFont val="Arial"/>
        <family val="2"/>
      </rPr>
      <t>3</t>
    </r>
  </si>
  <si>
    <t>=</t>
  </si>
  <si>
    <t>FUNDING SUBJECT TO PROPORTIONALITY REQUIREMENT</t>
  </si>
  <si>
    <t>REQUIRED PROPORTION (reflects local funds adj)</t>
  </si>
  <si>
    <t>GR Total and Percentage of Grand Total</t>
  </si>
  <si>
    <t>GENERAL REVENUE-DEDICATED            FINANCING SOURCES</t>
  </si>
  <si>
    <r>
      <t>EXCLUDE FUNDS WITH   SALARY RESTRICTIONS</t>
    </r>
    <r>
      <rPr>
        <b/>
        <vertAlign val="superscript"/>
        <sz val="8"/>
        <rFont val="Arial"/>
        <family val="2"/>
      </rPr>
      <t>3</t>
    </r>
  </si>
  <si>
    <t>)</t>
  </si>
  <si>
    <t>FEDERAL FUNDS            FINANCING SOURCES</t>
  </si>
  <si>
    <t>Federal</t>
  </si>
  <si>
    <t>OTHER FUNDS                FINANCING SOURCES</t>
  </si>
  <si>
    <t>Grand Total</t>
  </si>
  <si>
    <t>Legal Cites and Documentation:</t>
  </si>
  <si>
    <t>1  The amount listed as GR in the MOF of the GAA.</t>
  </si>
  <si>
    <t>2  If the sources of funding are estimated, enter the actual revenues.</t>
  </si>
  <si>
    <t>3  Provide statutory or other cite for excluded funds.</t>
  </si>
  <si>
    <t>SECTION II - BENEFITS WORKSHEETS</t>
  </si>
  <si>
    <t>IIa - Social Security, State Employee Match (OASI)</t>
  </si>
  <si>
    <t>COLUMN 6</t>
  </si>
  <si>
    <t>APPROPRIATED FUNDS</t>
  </si>
  <si>
    <t>ACTUAL BENEFITS PAID</t>
  </si>
  <si>
    <t>BENEFITS EXCLUDED</t>
  </si>
  <si>
    <t>BENEFITS SUBJECT TO PROPORTIONALITY</t>
  </si>
  <si>
    <t>CALCULATED PROPORTIONAL BENEFITS</t>
  </si>
  <si>
    <r>
      <t>REQUIRED     ADJUSTMENT</t>
    </r>
    <r>
      <rPr>
        <b/>
        <vertAlign val="superscript"/>
        <sz val="7"/>
        <rFont val="Arial"/>
        <family val="2"/>
      </rPr>
      <t>4</t>
    </r>
  </si>
  <si>
    <t>Other</t>
  </si>
  <si>
    <t>Totals</t>
  </si>
  <si>
    <t>Adjustment made with Current Doc Number</t>
  </si>
  <si>
    <t>IIb - Group Insurance (GIP)</t>
  </si>
  <si>
    <t>ACTUAL BENEFITS PAID*</t>
  </si>
  <si>
    <t>* Retiree Group Insurance Costs included above:</t>
  </si>
  <si>
    <t>Total Retiree Group Insurance Costs</t>
  </si>
  <si>
    <t>IIc - Retirement Contributions (TRS)</t>
  </si>
  <si>
    <t xml:space="preserve">IId - Optional Retirement Program (ORP) </t>
  </si>
  <si>
    <t>Benefits Excluded:</t>
  </si>
  <si>
    <t>4  Amounts may differ due to rounding.</t>
  </si>
  <si>
    <r>
      <t xml:space="preserve">5  Federal Funds must pay benefits on salaries paid from federal funds. See </t>
    </r>
    <r>
      <rPr>
        <i/>
        <sz val="8"/>
        <rFont val="Arial"/>
        <family val="2"/>
      </rPr>
      <t>Sources of Revenue Required to Pay Benefit Cost (APS001)</t>
    </r>
    <r>
      <rPr>
        <sz val="8"/>
        <rFont val="Arial"/>
        <family val="2"/>
      </rPr>
      <t>.</t>
    </r>
  </si>
  <si>
    <t>I certify that this report demonstrates compliance with HB 1, Article IX, Section 6.08, 82nd Legislature, Regular Session, and has been completed</t>
  </si>
  <si>
    <r>
      <t xml:space="preserve">in accordance with the guidance provided in the Fiscal Policy and Procedure (FPP) </t>
    </r>
    <r>
      <rPr>
        <b/>
        <i/>
        <sz val="10"/>
        <rFont val="Arial"/>
        <family val="2"/>
      </rPr>
      <t>Benefits Proportional by Fund (APS011)</t>
    </r>
    <r>
      <rPr>
        <b/>
        <sz val="10"/>
        <rFont val="Arial"/>
        <family val="2"/>
      </rPr>
      <t>.</t>
    </r>
  </si>
  <si>
    <t>Signature</t>
  </si>
  <si>
    <t>Date</t>
  </si>
  <si>
    <t>Chief Financial Officer or Designee</t>
  </si>
  <si>
    <t>Benefits Proportional by Fund - Local Funds Adjustment</t>
  </si>
  <si>
    <t>(Institutions of Higher Education)</t>
  </si>
  <si>
    <t>Actual Revenues (adjusted for riders and exclusions):</t>
  </si>
  <si>
    <t>% of Total</t>
  </si>
  <si>
    <t>GR</t>
  </si>
  <si>
    <t>GR-Ded</t>
  </si>
  <si>
    <t>Actual Benefit Expenditures (all fund sources less exclusions):</t>
  </si>
  <si>
    <t>FICA</t>
  </si>
  <si>
    <t>GIP</t>
  </si>
  <si>
    <t>TRS</t>
  </si>
  <si>
    <t>ORP</t>
  </si>
  <si>
    <t>Local Funds Adjustment:</t>
  </si>
  <si>
    <t>GR-D</t>
  </si>
  <si>
    <r>
      <t>Adjusted Funding Proportionality Calculation</t>
    </r>
    <r>
      <rPr>
        <b/>
        <vertAlign val="superscript"/>
        <sz val="10"/>
        <rFont val="Arial"/>
        <family val="2"/>
      </rPr>
      <t>4</t>
    </r>
    <r>
      <rPr>
        <b/>
        <sz val="10"/>
        <rFont val="Arial"/>
        <family val="2"/>
      </rPr>
      <t>:</t>
    </r>
  </si>
  <si>
    <t>Adjusted % of Total</t>
  </si>
  <si>
    <t>Financing Sources for Appropriated Funds and Federal Receipts</t>
  </si>
  <si>
    <r>
      <t>General Revenue</t>
    </r>
    <r>
      <rPr>
        <vertAlign val="superscript"/>
        <sz val="8"/>
        <rFont val="Arial"/>
        <family val="2"/>
      </rPr>
      <t xml:space="preserve">1 </t>
    </r>
    <r>
      <rPr>
        <sz val="8"/>
        <rFont val="Arial"/>
        <family val="2"/>
      </rPr>
      <t xml:space="preserve">     (Appd Fund # 0001)</t>
    </r>
  </si>
  <si>
    <t>GR Riders                 (Appd Fund # 0001)</t>
  </si>
  <si>
    <t>Appropriated Receipts   (Appd Fund # 0001)</t>
  </si>
  <si>
    <t>Interagency Receipts    (Appd Fund # 0001)</t>
  </si>
  <si>
    <t>Other Sources         (Appd Fund # 0001)</t>
  </si>
  <si>
    <t>GR-Dedicated                  (Appd Fund #</t>
  </si>
  <si>
    <t>Other E &amp; G  Income   (Appd Fund #</t>
  </si>
  <si>
    <t>Appropriated Receipts  (Appd Fund #</t>
  </si>
  <si>
    <t>Interagency Receipts    (Appd Fund #</t>
  </si>
  <si>
    <t>GR-D Riders               (Appd Fund #</t>
  </si>
  <si>
    <t>GR-D Local Fund Adjustment (Appd Fund #</t>
  </si>
  <si>
    <t>GR - Dedicated Total and Percentage of Grand Total</t>
  </si>
  <si>
    <t xml:space="preserve">Federal Funds         (Appd Fund # </t>
  </si>
  <si>
    <t>FF Riders                 (Appd Fund #</t>
  </si>
  <si>
    <t>Federal Fund Total and Percentage of Grand Total</t>
  </si>
  <si>
    <t>Other Funds             (Appd Fund #</t>
  </si>
  <si>
    <t>Appropriated Receipts    (Appd Fund #</t>
  </si>
  <si>
    <t xml:space="preserve">Interagency Receipts   (Appd Fund # </t>
  </si>
  <si>
    <t>Other E &amp; G Patient Income  (Appd Fund #</t>
  </si>
  <si>
    <t xml:space="preserve">Other Local Funds Adjustment (Appd Fund #  </t>
  </si>
  <si>
    <t>OF Riders                       (Appd Fund #</t>
  </si>
  <si>
    <t>Other Funds Total and Percentage of Grand Total</t>
  </si>
  <si>
    <r>
      <t>REQUIRED     ADJUSTMENT</t>
    </r>
    <r>
      <rPr>
        <b/>
        <vertAlign val="superscript"/>
        <sz val="7"/>
        <rFont val="Arial"/>
        <family val="2"/>
      </rPr>
      <t>4</t>
    </r>
    <r>
      <rPr>
        <b/>
        <sz val="7"/>
        <rFont val="Arial"/>
        <family val="2"/>
      </rPr>
      <t xml:space="preserve"> </t>
    </r>
  </si>
  <si>
    <t xml:space="preserve">General Revenue    (Appd Fund # </t>
  </si>
  <si>
    <t xml:space="preserve">GR-Dedicated  (Appd Fund # </t>
  </si>
  <si>
    <r>
      <t>Federal</t>
    </r>
    <r>
      <rPr>
        <vertAlign val="superscript"/>
        <sz val="8"/>
        <rFont val="Arial"/>
        <family val="2"/>
      </rPr>
      <t>5</t>
    </r>
    <r>
      <rPr>
        <sz val="8"/>
        <rFont val="Arial"/>
        <family val="2"/>
      </rPr>
      <t xml:space="preserve">                 (Appd Fund # </t>
    </r>
  </si>
  <si>
    <t xml:space="preserve">Other                     (Appd Fund # </t>
  </si>
  <si>
    <t>local</t>
  </si>
  <si>
    <t>General Revenue    (Appd Fund #</t>
  </si>
  <si>
    <t xml:space="preserve">GR-Dedicated       </t>
  </si>
  <si>
    <t xml:space="preserve">Federal                </t>
  </si>
  <si>
    <t xml:space="preserve">Other                  </t>
  </si>
  <si>
    <r>
      <t>For Appropriation Year</t>
    </r>
    <r>
      <rPr>
        <b/>
        <sz val="10"/>
        <rFont val="Arial"/>
        <family val="2"/>
      </rPr>
      <t/>
    </r>
  </si>
  <si>
    <t xml:space="preserve">as of Fiscal Year </t>
  </si>
  <si>
    <t>METHOD OF FINANCING</t>
  </si>
  <si>
    <t>EXPENDED</t>
  </si>
  <si>
    <t>BUDGETED</t>
  </si>
  <si>
    <t>REQUESTED</t>
  </si>
  <si>
    <t>COMMENTS</t>
  </si>
  <si>
    <t>GENERAL REVENUE FUND</t>
  </si>
  <si>
    <t>001 General Revenue</t>
  </si>
  <si>
    <t>Regular Appropriations from MOF Table:</t>
  </si>
  <si>
    <t>From Appn Bill</t>
  </si>
  <si>
    <t>Rider Appropriations:</t>
  </si>
  <si>
    <t>Supplemental or Special Appropriations</t>
  </si>
  <si>
    <t>Transfers:</t>
  </si>
  <si>
    <t>Unexpended Balances Authority</t>
  </si>
  <si>
    <t>Lapsed Appropriations</t>
  </si>
  <si>
    <t>Total, General Revenue Fund</t>
  </si>
  <si>
    <t>TOTAL, ALL GENERAL REVENUE FUNDS</t>
  </si>
  <si>
    <t>GR-DEDICATED FUNDS</t>
  </si>
  <si>
    <t>704 Estimated Board Authorized Tuition Increases</t>
  </si>
  <si>
    <t>Revised Receipts</t>
  </si>
  <si>
    <t>Total 704 Estimated Board Authorized Tuition Increases</t>
  </si>
  <si>
    <t>770 Estimated Other Educational and General Income</t>
  </si>
  <si>
    <t>From Appn Bill TPEG, GIP, ORG ACTIVITIES</t>
  </si>
  <si>
    <t xml:space="preserve">tie to schedule 1 Total </t>
  </si>
  <si>
    <t>Total 770 Estimated Other Educational and General Income</t>
  </si>
  <si>
    <t>TOTAL, ALL GR DEDICATED FUNDS</t>
  </si>
  <si>
    <t>FEDERAL FUNDS</t>
  </si>
  <si>
    <t>369 Federal American Recovery and Reinvestment Fund</t>
  </si>
  <si>
    <t>Regular Appropriations:</t>
  </si>
  <si>
    <t>Regular Appropriations, Art XII (2010-11 GAA)</t>
  </si>
  <si>
    <t>TOTAL, 369 Federal American Recovery and Reinvestment Fund</t>
  </si>
  <si>
    <t>555 Federal Funds</t>
  </si>
  <si>
    <t>Total,  555 Federal Funds</t>
  </si>
  <si>
    <t>TOTAL, ALL FEDERAL FUNDS</t>
  </si>
  <si>
    <t>OTHER FUNDS</t>
  </si>
  <si>
    <t>Per Appn Bill</t>
  </si>
  <si>
    <t>TOTAL, OTHER FUNDS</t>
  </si>
  <si>
    <t>GRAND TOTAL</t>
  </si>
  <si>
    <t>FULL-TIME-EQUIVALENT POSITIONS</t>
  </si>
  <si>
    <t>Regular Appropriations from Bill Pattern:</t>
  </si>
  <si>
    <t>Supplemental Appropriations:</t>
  </si>
  <si>
    <t>Request to Exceed Adjustments:</t>
  </si>
  <si>
    <t>Unauthorized Number Over (Below) Cap</t>
  </si>
  <si>
    <t>TOTAL, ADJUSTED FTES</t>
  </si>
  <si>
    <t>As Appropriated - Revenue</t>
  </si>
  <si>
    <t>Adjust to actual expenditures</t>
  </si>
  <si>
    <t xml:space="preserve">     Base Recon</t>
  </si>
  <si>
    <t>Health-Related Institutions Patient</t>
  </si>
  <si>
    <t>Income (% to Total)</t>
  </si>
  <si>
    <t xml:space="preserve">TAMU SYSTEM COMMENTARY for LAR Schedule 4: 
Source Documents: 
a.) Benefits Proportional (APS011) for First Year (Actuals) to get Percentages of General Revenue and Other E&amp;G and to get Total OASI expenditures.
b.) Budgeted amount for OASI for Third Year (Budgeted)
Use Benefits Proportional (APS011) for % of General Revenue and Other E&amp;G (Note: Percentages may vary from Excel calculation and ABEST due to percentage rounding performed in ABEST)
Use Benefits Proportional (APS011) for Total OASI expenditures (column 5) for First Year (Actuals)
Grand Total, OASI should tie to AFR
(END OF SCHEDULE 4)
</t>
  </si>
  <si>
    <t>NOTES: This worksheet will be filled out for your institution.  It will be the APS011 submitted to the state. Once you have placed your institution name on the Input Sheet, it will populate the information in the header, but the following years will need to be your estimates for the current budgeted year and any projections forward. All three sheets (HE1, HE2 and LocalFundsAdj) need to be filled with your institution's information per your submitted APS011.</t>
  </si>
  <si>
    <t>This sheet serves as your input sheet.  It feeds to other tabs throughout the workbook.  All values are needed in order for the information to populate.  The growth rate percentage for the biennium adds the percentage placed to the future year estimations.  You can negate this by placing a 0 in the cell and adjusting formulas manually where they reference cell D8.</t>
  </si>
  <si>
    <t>From Appropriations Bill</t>
  </si>
  <si>
    <t xml:space="preserve">Adjustment to Expended </t>
  </si>
  <si>
    <t>Source/Accounting System Info</t>
  </si>
  <si>
    <t>Acct. System of Record</t>
  </si>
  <si>
    <t xml:space="preserve">Res/NonRes Allocation </t>
  </si>
  <si>
    <t>per TASSCUBO (leave blank)</t>
  </si>
  <si>
    <t>LAR</t>
  </si>
  <si>
    <t>AFR</t>
  </si>
  <si>
    <t>LAR v AFR</t>
  </si>
  <si>
    <t>Course Repeats not included above</t>
  </si>
  <si>
    <t>Proportionality Amounts</t>
  </si>
  <si>
    <t xml:space="preserve">  Gross Educational and General Payroll - Subject to TRS Retirement</t>
  </si>
  <si>
    <t xml:space="preserve">  Gross Educational and General Payroll - Subject to ORP Retirement</t>
  </si>
  <si>
    <t xml:space="preserve">  Employer Contribution to TRS Retirement Programs</t>
  </si>
  <si>
    <t xml:space="preserve">  Employer Contribution to ORP Retirement Programs</t>
  </si>
  <si>
    <t>General Revenue (% to Total)</t>
  </si>
  <si>
    <t>(% to Total</t>
  </si>
  <si>
    <t xml:space="preserve">   Health Related Institutions Patient Income</t>
  </si>
  <si>
    <t>Differential</t>
  </si>
  <si>
    <t>Proportionality Percentage</t>
  </si>
  <si>
    <t xml:space="preserve">   Other Educational and General Proportional Contribution</t>
  </si>
  <si>
    <t>Proportionality Contribution</t>
  </si>
  <si>
    <t xml:space="preserve">   (HRI) Patient Income Percentage X Total Employer Contribution to Retirement Programs</t>
  </si>
  <si>
    <t>Statutory Tuition should be @ Gross - do not reduce by waivers and exemptions.  See Schedule 1A worksheet for a list of what all should be included here.</t>
  </si>
  <si>
    <t>Waivers and exemptions (Remissions = waivers).  Exclude waivers/exemptions for Board Authorized (BAT) and waivers of tuition for studens 55 years and older</t>
  </si>
  <si>
    <t>This should be net of exemptions &amp; waivers</t>
  </si>
  <si>
    <t>Leave Blank, all Skiles debt should be retired</t>
  </si>
  <si>
    <t>Statutorily required lab fees</t>
  </si>
  <si>
    <t>Total annual distributions by state comptroller</t>
  </si>
  <si>
    <t>Total annual interest earnings on state funds held in local depositories</t>
  </si>
  <si>
    <t>University proportional share of O.A.S.I. - state paid employees only</t>
  </si>
  <si>
    <t>University proportional share of TRS and ORP - state paid employees only</t>
  </si>
  <si>
    <t>University proportional share of faculty and staff group insurance premiums - state paid employees only</t>
  </si>
  <si>
    <t>This is the formula amount of Other O&amp;G</t>
  </si>
  <si>
    <t>The reconciliation adds back selected items deducted above in order to provide a control total for "Total GRD" used as MOF in the LAR.  TPEG and Staff Group Insurance will be used as MOF for the individual strategy requests for each of these 2 non-formula items</t>
  </si>
  <si>
    <t>MOF for the Organized activities strategy</t>
  </si>
  <si>
    <t>1.) Designated Tuition is NOT included in Gross Tuition; Gross Tuition includes the following: APS011 E&amp;G Tuition, Exemptions from APS011, Tuition Bad Debt</t>
  </si>
  <si>
    <t>10.) Organized activities ties to Strategy request</t>
  </si>
  <si>
    <t>11.) Review Higher Ed Consistency Standards document</t>
  </si>
  <si>
    <t xml:space="preserve">AFR is net of waivers and includes course repeats on the Fee line.  Reconcile tuition to AFR knowing this, or reconcile to IFRS.
Base Recon shows expenditures, 1A shows revenue
</t>
  </si>
  <si>
    <t xml:space="preserve">THIS INFORMATION IS NOT PART OF SCHEDULE 1; however, in this area, you would reconcile your LAR Schedule 1 tuition to your AFR reported tuition.  Schedule 1 begins below the red line. 
</t>
  </si>
  <si>
    <t>3.) Does the General Revenue proportionality equal Schedule 5, General Revenue proportionality percentage?</t>
  </si>
  <si>
    <t>FUTURE DEVELOPMENT NEEDED</t>
  </si>
  <si>
    <t>For this section, we can have inputs if necessary, but no formulas have been linked yet because a lot of the calculation is done on the tab</t>
  </si>
  <si>
    <t xml:space="preserve">Est. Other E&amp;G                 (Appd Fund # </t>
  </si>
  <si>
    <t>Reconciliation to Summary of Request for FY 2011-2015 :</t>
  </si>
  <si>
    <t>Resident Waivers and Exemptions (excl. Hazelwood)</t>
  </si>
  <si>
    <t>Non-Resident Waivers and Exemptions</t>
  </si>
  <si>
    <t>Hazelwood Exemptions</t>
  </si>
  <si>
    <t xml:space="preserve">Realized </t>
  </si>
  <si>
    <t>Tracy Foster</t>
  </si>
  <si>
    <t>UPDATE TO ADJUST DOWN TO EXP (yr1: ABEST/USAS recon)</t>
  </si>
  <si>
    <t>repealed effective 09/1/2015, REPORT FY2015 only</t>
  </si>
  <si>
    <r>
      <t>Less: a. Waivers and Exemptions</t>
    </r>
    <r>
      <rPr>
        <vertAlign val="superscript"/>
        <sz val="10"/>
        <rFont val="Arial"/>
        <family val="2"/>
      </rPr>
      <t>2</t>
    </r>
  </si>
  <si>
    <t>Laboratory Fees</t>
  </si>
  <si>
    <t>HB 2, 84th Leg Regular Session</t>
  </si>
  <si>
    <t xml:space="preserve">Example: Art. IX, Sec. 18.19 </t>
  </si>
  <si>
    <t>Example: Art III Special Prov., Sec. #, UB</t>
  </si>
  <si>
    <t xml:space="preserve">Total 810 Permanent Health Fund for Higher Education </t>
  </si>
  <si>
    <t>810 Permanent Health Fund for Higher Education</t>
  </si>
  <si>
    <t>5124 - Emerging Technology Fund - UT Austin</t>
  </si>
  <si>
    <t>5124 - Emerging Technology Fund - Texas A&amp;M</t>
  </si>
  <si>
    <t>5022 - Oyster Sales Account</t>
  </si>
  <si>
    <t>5029 - Center for Study and Prevention of Juvinile Crime and Delinquency Account</t>
  </si>
  <si>
    <t>412 - Midwestern University Special Mineral Account</t>
  </si>
  <si>
    <t>581 - Law Enforcement Management Institute Account</t>
  </si>
  <si>
    <t>5083 - Correctional Management Institute of Texas Account</t>
  </si>
  <si>
    <t>5007 - Commission on State Emergency Communications Account</t>
  </si>
  <si>
    <t>Select fund from drop down menu</t>
  </si>
  <si>
    <t>811 - Permanent Endowment Fund, UTHSC San Antonio</t>
  </si>
  <si>
    <t>812 - Permanent Endowment Fund, UT MD Anderson</t>
  </si>
  <si>
    <t>813 - Permanent Endowment Fund, UT Southwestern Medical Center</t>
  </si>
  <si>
    <t>814 - Permanent Endowment Fund, UT Medical Branch Galveston</t>
  </si>
  <si>
    <t>815 - Permanent Endowment Fund, UTHSC Houston</t>
  </si>
  <si>
    <t>816 - Permanent Endowment Fund, UTHSC Tyler</t>
  </si>
  <si>
    <t>817 - Permanent Endowment Fund, The University of Texas at El Paso</t>
  </si>
  <si>
    <t xml:space="preserve">818 - Permanent Endowment Fund, Texas A&amp;M University Health Science Center </t>
  </si>
  <si>
    <t>819 - Permanent Endowment Fund, The University of North Texas Health Science Center</t>
  </si>
  <si>
    <t>820 - Permanent Endowment Fund, Texas Tech University Health Science Center   (El Paso)</t>
  </si>
  <si>
    <t xml:space="preserve">821 - Permanent Endowment Fund, Texas Tech University Health Science Center </t>
  </si>
  <si>
    <t>822 - Permanent Endowment Fund, The University of Texas Regional Academic Health Center</t>
  </si>
  <si>
    <t>802 - License Plate Trust Fund</t>
  </si>
  <si>
    <t>969 - Real Estate Trust Account</t>
  </si>
  <si>
    <t>777 - Interagency Contracts</t>
  </si>
  <si>
    <t>Data for drop down menus hidden below:</t>
  </si>
  <si>
    <t>Other GR Dedicated Funds (select from drop down list)</t>
  </si>
  <si>
    <t xml:space="preserve"> Permanent Endowment Fund (select from drop down list)</t>
  </si>
  <si>
    <t>Other Funds (select from drop down list)</t>
  </si>
  <si>
    <t>Art IX, Sec 6.10(h), New 100% Federally Funded FTE's (2010-11 GAA)</t>
  </si>
  <si>
    <t xml:space="preserve">Article IX, Section 6.10 (a) (2)   </t>
  </si>
  <si>
    <t>Provides institution additional FTE's without LBB approval: the lesser of fifty FTEs or 110% of FTE cap. You would enter here an additional 10% of FTE cap or 50 FTEs (which ever is less) if necessary</t>
  </si>
  <si>
    <t>TASSCUBO Budget Committee Detail Procedures</t>
  </si>
  <si>
    <t xml:space="preserve">Schedule 1A/1B (Health Related): Other Educational and General Income
1. Source documents:  
a) Gross Tuition (Net tuition plus all waivers and exemptions)
b) E&amp;G Waivers &amp; Exemptions as reported on IFRS.  Do not use AFR because most waivers are not reported on AFR.  Resident, Non-Resident and Hazlewood are broken out separately.
c) Schedule 4-Computation of OASI-‘Other E&amp;G Funds’ amount
d) Schedule 5- Calc. of Retirement Prop. &amp; ORP Differential-‘Other E&amp;G Proportional Contribution’ amount
e) Tuition Rebate Account expenditures/budget
f) Repeated or Excessive hour revenues
g) Texas Public Education Grants (TPEG) set aside amounts 
h) APS011 for Year 1 (Actuals) for GR-Dedicated SGIP (Staff Group Insurance Premiums)
i) Use budget for Year 3 
j) Note: Institutions are allowed to deduct tuition charged when the institution will not receive formula funding for the student or course.  For example, online, out-of-state tuition revenue should not be reported on Sch 1. It should be deposited in a local account (not in the state treasury) since these SCHs are not counted towards formula funding.
2. Revenue included on Schedule 1 is typically deposited in the state treasury. [See Education Code 51.009c: Each of the following shall be accounted for as educational and general funds: (1)  net tuition, special course fees charged under Sections 54.051(e) and (l), lab fees, student teaching fees, organized activity fees, and proceeds from the sale of educational and general equipment ; and (2) hospital and clinic fees received by a state-owned clinical care facility that is operated using general revenue fund appropriations for patient care.]  The most common are:  Tuition, Graduate Differential (Board Authorized Tuition Increases), Lab fees, Repeated or Excessive Hours, Interest on General Funds &amp; Organized Activities (e.g., Nursery, Farm).   
3. Refunds – leave blank.
4. Installment Payment Forfeits—leave blank.
5. Board Authorized Tuition – should be included as part of gross tuition.  It’s then backed out here.  Should tie to Summary of Base Request by MOF for 0704, GAA plus revised receipts.
6. Use actuals on the Tuition Rebate account for first year, estimate year 2 and budget for 3rd year.
7. Use actual transfers of TPEG for first year and estimate current year based on actuals to date.  Use TPEG budget for third year.  TPEG amounts should tie to TPEG strategy in report 3.A.
8. Other Income – report actual/projections/budget as appropriate.  Most common reported are:
a. Interest on local funds in state treasury represents investment earnings deposited to the state institution of higher education’s Fund 02xx appropriations based on their cash balance.  These appropriations hold all unspent revenues collected and required to be deposited in the state treasury related to student tuition and fees.
b. Interest on local funds held in local depositories represents investment earnings posted to E&amp;G related to funds held in a local depository that are, by inclusion in the LAR, considered to be E&amp;G/appropriated funds.
c. Other examples include: Federal land grant endowment, Sale of equipment, Rental of E&amp;G space
9. ‘OASI Applicable to E&amp;G Local Funds Payroll’ must tie to ‘Other E&amp;G Funds’ on Schedule 4.
10. ‘TRS and ORP Proportionality for E&amp;G Funds’ must tie to ‘Other E&amp;G Proportional Contribution’ lines on Schedule 5.
11. SGIP – from APS011 Other E&amp;G (GR-Dedicated) for Year 1.  Project and budget for Years 2-5.  Should tie to SGIP strategy in 3.A. Strategy Request.    
12. Totals for Years 1-3 should tie to 2.B. Summary of Base Request by MOF , ‘Total, All GR Fund-Dedicated’ less any ‘Adjustment to Expended’ amounts.
</t>
  </si>
  <si>
    <t xml:space="preserve">Schedule 4: Computation of OASI
1. Source Documents:
a) Benefits Proportional (APS011) for Year 1 (Actuals) to get Percentages of General Revenue and Other Education and General Funds and to get Total OASI expenditures.
b) E&amp;G OASI expenditures from accounting system for Year 2:
• Current year thru June (E&amp;G accounts only) less accounts for which APS011 does not apply (i.e., E&amp;G THECB accounts).
• Estimate July-August 
c) Budgeted amount for OASI for Year 3 (Budgeted) 
2. Enter the total OASI for Year 1 (Actual), Year 2 (Projected), and Year 3 (Budgeted) years.  Project for Year 4&amp;5.
3. Enter General Revenue and Other Educational and General percentages from APS011 for Year 1 (Actuals).  Project percentages for Years 2-5.  Typically they stay pretty consistent from year to year.  Note: Percentages may vary from Excel calculation and ABEST due to % rounding.  Percentages should be the same as those used in Schedule 5 and Schedule 3 for all years.
4. The total OASI for each year will be multiplied by the proportionality percentage to calculate the allocation of total OASI between General Revenue and Other Educational and General Funds.
5. The amount for “Allocation of Total OASI” for Other Educational and General Funds should be used in Schedule 1A for all years.
6. Grand Total, OASI should tie to APS011 and AFR (Year 1 only).
</t>
  </si>
  <si>
    <t xml:space="preserve">  HRI Patient Income Proportional Contribution </t>
  </si>
  <si>
    <t>Schedule 1B - Helath Related Institution Patient Income</t>
  </si>
  <si>
    <t>Health Related Institutions Patient Income</t>
  </si>
  <si>
    <t>Medical Patient Income</t>
  </si>
  <si>
    <t>Dental Patient Income</t>
  </si>
  <si>
    <t>Other (Itemize)</t>
  </si>
  <si>
    <t xml:space="preserve">         Interest on Funds in Local Depositories</t>
  </si>
  <si>
    <t xml:space="preserve">         Other Operating Revenue</t>
  </si>
  <si>
    <t>Subtotal - Health related Institutions Patient Related Income</t>
  </si>
  <si>
    <t xml:space="preserve">TOTAL, HEALTH RELATED INSTITUTIONS PATIENT RELATED INCOME </t>
  </si>
  <si>
    <t>Health Related Institution Patient Related FTES</t>
  </si>
  <si>
    <t xml:space="preserve">Patient Income is no longer reported in the LAR strategies. </t>
  </si>
  <si>
    <t>Shows the incremental increase IF authorized by joint LBB/Gov Office approval of a request to exceed agency FTE cap.</t>
  </si>
  <si>
    <t>Medical Loans repealed effective 9/1/2015 (Report for FY 2015 only). Dental still applies - report in this line.</t>
  </si>
  <si>
    <t>Schedule 3A/3B/3D:  Group Health Insurance Enrollment Supplemental Schedule (State Institutions)</t>
  </si>
  <si>
    <t>Agency Name:</t>
  </si>
  <si>
    <t xml:space="preserve">GR </t>
  </si>
  <si>
    <t>Sec. I:  Full Time Actives</t>
  </si>
  <si>
    <t>E&amp;G FT Enrollment</t>
  </si>
  <si>
    <t>GR Enrollment</t>
  </si>
  <si>
    <t>GR-D/OEGI Enrollment</t>
  </si>
  <si>
    <t>Total E&amp;G (Check)</t>
  </si>
  <si>
    <t>Local FT Non-E&amp;G</t>
  </si>
  <si>
    <t>1a</t>
  </si>
  <si>
    <t>Employee Only</t>
  </si>
  <si>
    <t>2a</t>
  </si>
  <si>
    <t>Employee &amp; Children</t>
  </si>
  <si>
    <t>3a</t>
  </si>
  <si>
    <t>Employee &amp; Spouse</t>
  </si>
  <si>
    <t>4a</t>
  </si>
  <si>
    <t>Employee &amp; Family</t>
  </si>
  <si>
    <t>5a</t>
  </si>
  <si>
    <t>Eligible, Opt-out</t>
  </si>
  <si>
    <t>6a</t>
  </si>
  <si>
    <t>Eligible, Not Enrolled</t>
  </si>
  <si>
    <t>Sec. II:  Part Time Actives</t>
  </si>
  <si>
    <t>E&amp;G PT Enrollment</t>
  </si>
  <si>
    <t>Total (Check)</t>
  </si>
  <si>
    <t>Local PT Non-E&amp;G</t>
  </si>
  <si>
    <t>1b</t>
  </si>
  <si>
    <t>2b</t>
  </si>
  <si>
    <t>3b</t>
  </si>
  <si>
    <t>4b</t>
  </si>
  <si>
    <t>5b</t>
  </si>
  <si>
    <t>6b</t>
  </si>
  <si>
    <t>Subtotal, Actives:</t>
  </si>
  <si>
    <t>Sec. III:  Full Time Retirees</t>
  </si>
  <si>
    <t>1c</t>
  </si>
  <si>
    <t>2c</t>
  </si>
  <si>
    <t>3c</t>
  </si>
  <si>
    <t>4c</t>
  </si>
  <si>
    <t>5c</t>
  </si>
  <si>
    <t>6c</t>
  </si>
  <si>
    <t>Sec. IV:  Part Time Retirees</t>
  </si>
  <si>
    <t>1d</t>
  </si>
  <si>
    <t>2d</t>
  </si>
  <si>
    <t>3d</t>
  </si>
  <si>
    <t>4d</t>
  </si>
  <si>
    <t>5d</t>
  </si>
  <si>
    <t>6d</t>
  </si>
  <si>
    <t>Subtotal Retirees:</t>
  </si>
  <si>
    <t>Sec. V:  Total Full Time Enrollment</t>
  </si>
  <si>
    <t>1e</t>
  </si>
  <si>
    <t>2e</t>
  </si>
  <si>
    <t>3e</t>
  </si>
  <si>
    <t>4e</t>
  </si>
  <si>
    <t>5e</t>
  </si>
  <si>
    <t>6e</t>
  </si>
  <si>
    <t>Sec. VI:  Total Part Time Enrollment</t>
  </si>
  <si>
    <t>1f</t>
  </si>
  <si>
    <t>2f</t>
  </si>
  <si>
    <t>3f</t>
  </si>
  <si>
    <t>4f</t>
  </si>
  <si>
    <t>5f</t>
  </si>
  <si>
    <t>6f</t>
  </si>
  <si>
    <t>Sec. VII:  TOTAL 
ENROLLMENT</t>
  </si>
  <si>
    <t>1g</t>
  </si>
  <si>
    <t>2g</t>
  </si>
  <si>
    <t>3g</t>
  </si>
  <si>
    <t>4g</t>
  </si>
  <si>
    <t>5g</t>
  </si>
  <si>
    <t>6g</t>
  </si>
  <si>
    <t>Total Enrollment:</t>
  </si>
  <si>
    <t>Grand Total Enrollment:</t>
  </si>
  <si>
    <t>University Name</t>
  </si>
  <si>
    <t>SCHEDULE 7: Personnel</t>
  </si>
  <si>
    <t>PART A</t>
  </si>
  <si>
    <t>FTE POSITIONS</t>
  </si>
  <si>
    <t>Directly Appropriated Funds (Bill Pattern)</t>
  </si>
  <si>
    <t>E&amp;G Faculty Employees</t>
  </si>
  <si>
    <t>E&amp;G Non-Faculty Employees</t>
  </si>
  <si>
    <t>SUBTOTAL, Directly Appropriated Funds</t>
  </si>
  <si>
    <t>Other Appropriated Funds</t>
  </si>
  <si>
    <t>Subtotal, Other Appropriated Funds</t>
  </si>
  <si>
    <t>Subtotal, All Appropriated</t>
  </si>
  <si>
    <t>This row should tie to base recon</t>
  </si>
  <si>
    <t>Non Appropriated Funds Employees</t>
  </si>
  <si>
    <t>Subtotal, Non-Appropriated</t>
  </si>
  <si>
    <t>PART B</t>
  </si>
  <si>
    <t>Personnel Headcount</t>
  </si>
  <si>
    <t>AUF</t>
  </si>
  <si>
    <t>PART C</t>
  </si>
  <si>
    <t>Salaries</t>
  </si>
  <si>
    <t>Subtotal, Other Appropriated Funds Employees</t>
  </si>
  <si>
    <t>Diff from Base Recon</t>
  </si>
  <si>
    <t xml:space="preserve">What LAR Biennium are you preparing the LAR for (enter last year - Ex: 2016-2017 would be 2017)?  </t>
  </si>
  <si>
    <t>Acct. System Record</t>
  </si>
  <si>
    <t>Select fund from drop down menu for other GRD your University may have (i.e. license plate or emerging technology fund).  This information may come in the LAR instructions from the LBB.</t>
  </si>
  <si>
    <t>look at the excess hours instructios</t>
  </si>
  <si>
    <t>Enter actual FY 2020 GR and GR-D proportional percentages reported in the FY 2020 Benefits Proportional by Fund (APS 011) report.</t>
  </si>
  <si>
    <t>Enrollment as of January 1, 2021</t>
  </si>
  <si>
    <t>Adjust to Actual revenues for FY 2019, Budgeted for FY 2020, no adjustment for FY 2021 (should tie to Schedule 1A)</t>
  </si>
  <si>
    <t>FY 19 - Adjust to Actual Revenue (sch 1); FY 20 - Adjust to Expected Revenue (tie running subtotal for appropriations plus revised receipts for 704 and 770 to Schedule 1)</t>
  </si>
  <si>
    <t>adjust to expenditures, for FY 2019, ABEST/USAS Recon, for Budget years, FDAR 670</t>
  </si>
  <si>
    <t>FY 19- GR Dedicated Expenditures per ABEST;  FY 20 Budgeted Exp (These are expenditures!!!!!!!)</t>
  </si>
  <si>
    <t>FY 19 - Adjust to Actual Revenue; FY 20- Adjust to Expected Revenue</t>
  </si>
  <si>
    <t>Adjust to Actual: for FY 19, 4th Quarter ABEST Recon.  Don't include Article 9, sec 6.1 FTE's here</t>
  </si>
  <si>
    <t>The LBB has agreed to remove Parts B and C effective with the 2022-2023 LAR.  These do not need to be completed.</t>
  </si>
  <si>
    <t>Actual 2019</t>
  </si>
  <si>
    <t>Proj  2020</t>
  </si>
  <si>
    <t>Est. 2021</t>
  </si>
  <si>
    <t>Est. 2022</t>
  </si>
  <si>
    <t>Est 2023</t>
  </si>
  <si>
    <t xml:space="preserve">3.) Other E&amp;G Income amounts for fiscal years (CURRENT BIENNIUM (CB) minus 3 through CB minus 1)  (EX: for 2022/23 biennium, it would be 2019 through 2021) tie to the amounts on the Summary of Base Request by Method of Financing. </t>
  </si>
  <si>
    <t xml:space="preserve">Schedule 5: Calculation of Retirement Proportionality &amp; ORP Differential
1. Source documents:
a) Use updated TRS &amp; ORP percentages from "Input Sheet for LAR" tab.
b) Benefits Proportional (APS011) for Year 1 (Actuals) to get Percentages of General Revenue and Other Education and General Funds and Total TRS &amp; ORP expenditures for “Employer Contributions to TRS and ORP” amounts.
c) E&amp;G account expenditures for Year 1 to get Differential.
d) E&amp;G account expenditures for Year 2  to estimate Differential: 
• Current year thru June (E&amp;G accounts only) less THECB accounts.
• Estimate July-August.
e) E&amp;G accts (TRS and ORP obj. codes) for Year 2 to estimate ORP &amp; TRS totals: 
• Current year thru June (E&amp;G accounts only) less THECB accounts.
• Estimate July-August.
f) Budgeted amounts for TRS &amp; ORP total expenditures for Year 3 (Budgeted).  
2. Enter Proportionality Percentages from APS011 (GR-Dedicated).  Project for years 2-5.  Should match Schedule 3 &amp; 4 percentages.  
3. Combine Benefits Proportional APS011 GR-Dedicated amounts for TRS and ORP (Column 5) to get “Other Educational and General Proportional Contribution” for First Year (Actuals).  Project for years 2-5.
4. Divide “Employer Contribution to TRS Retirement Programs” by employer’s share of retirement percentage to get “Gross Educational and General Payroll-Subject to TRS Retirement”. 
5. Divide “Employer Contribution to ORP Retirement Programs” by employer’s share of retirement percentage to get “Gross Educational and General Payroll-Subject to ORP Retirement”.  
6. Use E&amp;G account expenditures, for “Total Differential”.  Project for Years 2-5.  ORP Differential is the institution’s share of retirement benefits between (6.6%) and 8.5% of salary amounts paid to the ORP for eligible employees hired prior to Sept. 1, 1995.
7. Divide “Total Differential” amount by 1.9% all other years to get “Gross Payroll Subject to Differential-ORP”
8. ‘Other E&amp;G Proportional Contribution’ is calculated by adding the ‘Employer Contribution to TRS and ORP Retirement Program’ lines and multiplying by ‘Other E&amp;G Proportional %’.  This total is used on Schedule 1, ‘TRS and ORP Proportionality for E&amp;G Funds’.
</t>
  </si>
  <si>
    <r>
      <t xml:space="preserve">Source Documents: 
a.) Get updated percentages from Schedule 5 instructions.  (Note of Background Information: Participants who were contributing on 08/31/95 (or faculty members contributing in May 1995) receive a 1.31% (.73% in FY09 and .91% in FY10 [obj. code 1956]) General Revenue supplement, which is provided as a line item appropriation to the universities and as an aggregate line tem appropriation to the Coordinating Board for distribution to the community colleges.  Institutions are authorized by not required to continue to use local funds or other sources of funds to provide 1.19% supplement to the 7.31% employer contribution rate for participants who were contributing on 08/31/95 and who received 8.5% during FY94-FY95.  This is why the 1.19% object code 1957 is not included on the Schedule 5, but is reported on the APS011.) 
b.) BPP report for Schedule 5 as of 06/30.  Usually run by the middle of July as of June 30th.  Has to be requested from BPP for the agency/system part.  No numbers are used from this report, but it is used to check for reasonableness.  Amounts on the LAR should be close to the LAR but not exact due to rounding within ABEST.
c.) Benefits Proportionality (APS011) for First Year (Actuals) to get Percentages of General Revenue and Other Education and General Funds for Total TRS/ORP Fd02xx expenditures.
d.) FAMIS Screen 080, E&amp;G account (object code 1956) for First Year to get Differential.
e.) FAMIS Screen 080, E&amp;G accounts (object code 1956) for Second Year to estimated Differential. 
I. Current year thru June (100000-199999 accounts only) less indirect costs/THECB accounts.
II. Estimate July-August based on: taking the YTD thru June expenditures and dividing by 10 and then multiplying by 12 to get an annual amount.
f.) FAMIS screen 080, E&amp;G accounts (object codes 1955 &amp; 1960) for Second Year to estimate ORP &amp; TRS Fd02xx: 
I. Current year thru June (100000-199999 accounts only) less indirect costs/THECB accounts
II. Estimate July-August based on taking the YTD  thru June, dividing by 10 and multiplying by 12 to get an annual amount.
III. Note: the 1955 expenditures include Fd0001 &amp; Fd02xx so you will need to project thru year-end and then multiply by the Fd02xx proportionality.  TRS expenditures are only Fd02xx in FAMIS.  (this is done in the APS011 provided by FMO).
g.) Budgeted amounts for TRS and ORP Fd02xx expenditures for Third Year (Budgeted).
2.) Use Benefits Proportional percentages for “Proportionality Percentage”.
3.) Combine Benefits Proportional Fd02xx amounts for TRS and ORP (Column 5) to get “Other Educational and General Proportional Contribution” for the First Year (Actuals).
4.) Divide TRS Fd02XX amount by FD02XX percentage to get “Employer Contributions to TRS Retirement Programs”.  Then divide by employer’s share of retirement percentage to get “Gross E&amp;G Payroll Subject to TRS Retirement.” (Compare to BPP report for reasonableness).
5.) Divide ORP FdXX02 amount by Fd02XX percentage to get “Employer Contribution to ORP/Retirement Programs”.  Then divide “Employer Contribution to ORP Retirement Programs” by employer’s share of retirement percentage  to get “Gross E&amp;G Payroll – Subject to ORP Retirement”.  (Compare to BPP report for reasonableness).
6.) Use FAMIS Screen 080, E&amp;G account, (obj. code 1956) for “Total Differential”. Project for Years 2-5.
7.) Divide “Total Differential” amount by </t>
    </r>
    <r>
      <rPr>
        <sz val="11"/>
        <rFont val="Calibri"/>
        <family val="2"/>
        <scheme val="minor"/>
      </rPr>
      <t>1.9%</t>
    </r>
    <r>
      <rPr>
        <sz val="11"/>
        <color theme="1"/>
        <rFont val="Calibri"/>
        <family val="2"/>
        <scheme val="minor"/>
      </rPr>
      <t xml:space="preserve"> to get “Gross Payroll Subject to Differential – ORP”
8.) Use f) to calculate Second Year (Estimates). Then follow steps 3 through 5.
9.) Other E&amp;G Funds amount tie to Schedule 1 (plug this total to Schedule 1).
</t>
    </r>
  </si>
  <si>
    <t>1.) Does the amount for "Allocation of Total OASI" for Other E&amp;G equal the Schedule 1A reduction of income for OASI for fiscal years 2019 through 2023?</t>
  </si>
  <si>
    <t>2.) Does the amount "Allocation of OASI" for General Revenue Funds equal the amounts for OASI matching in the annual financial report for 2019 and 2020?</t>
  </si>
  <si>
    <t>Any amounts associated with excessive hours are reported on this line, including the statutory portion (non-resident rate or the $50/sch resident amount)</t>
  </si>
  <si>
    <t xml:space="preserve">******* (FY Prior) &amp; (FY Current) Proportional Percentages are derived by using the (FY Current minus 2) GR amount.
</t>
  </si>
  <si>
    <t>(what used to go in line f. now goes here)</t>
  </si>
  <si>
    <t>No tuition is reported on this line anymore (now reported on line h)</t>
  </si>
  <si>
    <t>What is the TRS contribution rate for the current year?</t>
  </si>
  <si>
    <t>What is the ORP contribution rate for the current year?</t>
  </si>
  <si>
    <t>What is the Gross payroll subject to differential for ORP for the current year ?</t>
  </si>
  <si>
    <t>What was the TRS contribution rate for the prior year?</t>
  </si>
  <si>
    <t>What was the ORP contribution rate for the prior year?</t>
  </si>
  <si>
    <t>What was the gross payroll subject to different for ORP for the prior year?</t>
  </si>
  <si>
    <t>Plus:  Transfer of Funds for Texas Public Education Grants Program and</t>
  </si>
  <si>
    <t xml:space="preserve">                Physician Loans</t>
  </si>
  <si>
    <t>Plus:  Transfer of Funds for 2% for Physician/Dental Loans (Medical Schools)</t>
  </si>
  <si>
    <t>Plus:  Transfer of Funds for Cancellation of Student Loans of Physicians</t>
  </si>
  <si>
    <r>
      <t>Plus:  Organized Activities</t>
    </r>
    <r>
      <rPr>
        <vertAlign val="superscript"/>
        <sz val="10"/>
        <rFont val="Arial"/>
        <family val="2"/>
      </rPr>
      <t>11</t>
    </r>
  </si>
  <si>
    <t>Plus:   Staff Group Insurance Premiums</t>
  </si>
  <si>
    <t>Plus:  Board-authorized Tuition Income</t>
  </si>
  <si>
    <t>Plus:  Tuition Increases Charged to Doctoral Students with Hours in</t>
  </si>
  <si>
    <t>Plus:  Tuition Increases Charged to Undergraduate Students with Excess</t>
  </si>
  <si>
    <t xml:space="preserve">                Hours (TX 61.0595)</t>
  </si>
  <si>
    <t>Plus:  Tuition rebates for certain undergraduates (TX Ed Code Sec 54.0065)</t>
  </si>
  <si>
    <t>Plus:  Tuition for repeated or excessive hours (TX. Educ Code</t>
  </si>
  <si>
    <t>Less:  Tuition Waived for Students 55 Years or Older</t>
  </si>
  <si>
    <t>Less:  Tuition Waived for Texas Grant Recipients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</si>
</sst>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 #,##0.0_);_(* \(#,##0.0\);_(* &quot;-&quot;??_);_(@_)"/>
    <numFmt numFmtId="166" formatCode="0.0000"/>
    <numFmt numFmtId="167" formatCode="_(&quot;$&quot;* #,##0_);_(&quot;$&quot;* \(#,##0\);_(&quot;$&quot;* &quot;-&quot;??_);_(@_)"/>
    <numFmt numFmtId="168" formatCode="0.000%"/>
    <numFmt numFmtId="169" formatCode="0000"/>
    <numFmt numFmtId="170" formatCode="0.0000%"/>
    <numFmt numFmtId="171" formatCode="&quot;$&quot;#,##0"/>
    <numFmt numFmtId="172" formatCode="#,##0.0000"/>
    <numFmt numFmtId="173" formatCode="mm/dd/yyyy"/>
    <numFmt numFmtId="174" formatCode="000"/>
    <numFmt numFmtId="175" formatCode="0.000"/>
    <numFmt numFmtId="176" formatCode="0.0%"/>
    <numFmt numFmtId="177" formatCode="#,##0.0_);\(#,##0.0\)"/>
    <numFmt numFmtId="178" formatCode="_(* #,##0.0000_);_(* \(#,##0.0000\);_(* &quot;-&quot;??_);_(@_)"/>
  </numFmts>
  <fonts count="83" x14ac:knownFonts="1">
    <font>
      <sz val="11"/>
      <color theme="1"/>
      <name val="Calibri"/>
      <family val="2"/>
      <scheme val="minor"/>
    </font>
    <font>
      <b/>
      <sz val="11"/>
      <color theme="1"/>
      <name val="Calibri"/>
      <family val="2"/>
      <scheme val="minor"/>
    </font>
    <font>
      <b/>
      <u/>
      <sz val="11"/>
      <color theme="1"/>
      <name val="Calibri"/>
      <family val="2"/>
      <scheme val="minor"/>
    </font>
    <font>
      <u/>
      <sz val="11"/>
      <color theme="1"/>
      <name val="Calibri"/>
      <family val="2"/>
      <scheme val="minor"/>
    </font>
    <font>
      <sz val="10"/>
      <name val="Arial"/>
      <family val="2"/>
    </font>
    <font>
      <b/>
      <sz val="10"/>
      <name val="Arial"/>
      <family val="2"/>
    </font>
    <font>
      <vertAlign val="superscript"/>
      <sz val="10"/>
      <name val="Arial"/>
      <family val="2"/>
    </font>
    <font>
      <sz val="10"/>
      <color rgb="FFFF0000"/>
      <name val="Arial"/>
      <family val="2"/>
    </font>
    <font>
      <b/>
      <sz val="9"/>
      <color indexed="81"/>
      <name val="Tahoma"/>
      <family val="2"/>
    </font>
    <font>
      <sz val="9"/>
      <color indexed="81"/>
      <name val="Tahoma"/>
      <family val="2"/>
    </font>
    <font>
      <sz val="11"/>
      <color theme="1"/>
      <name val="Calibri"/>
      <family val="2"/>
      <scheme val="minor"/>
    </font>
    <font>
      <sz val="11"/>
      <color rgb="FFFF0000"/>
      <name val="Calibri"/>
      <family val="2"/>
      <scheme val="minor"/>
    </font>
    <font>
      <sz val="10"/>
      <name val="Arial"/>
      <family val="2"/>
    </font>
    <font>
      <b/>
      <sz val="18"/>
      <name val="Arial"/>
      <family val="2"/>
    </font>
    <font>
      <b/>
      <sz val="12"/>
      <name val="Arial"/>
      <family val="2"/>
    </font>
    <font>
      <b/>
      <sz val="16"/>
      <name val="Arial"/>
      <family val="2"/>
    </font>
    <font>
      <sz val="12"/>
      <name val="Arial"/>
      <family val="2"/>
    </font>
    <font>
      <b/>
      <u/>
      <sz val="12"/>
      <name val="Arial"/>
      <family val="2"/>
    </font>
    <font>
      <sz val="14"/>
      <name val="Calibri"/>
      <family val="2"/>
      <scheme val="minor"/>
    </font>
    <font>
      <sz val="14"/>
      <color theme="1"/>
      <name val="Calibri"/>
      <family val="2"/>
      <scheme val="minor"/>
    </font>
    <font>
      <b/>
      <sz val="14"/>
      <name val="Calibri"/>
      <family val="2"/>
      <scheme val="minor"/>
    </font>
    <font>
      <b/>
      <sz val="14"/>
      <color theme="1"/>
      <name val="Calibri"/>
      <family val="2"/>
      <scheme val="minor"/>
    </font>
    <font>
      <b/>
      <u/>
      <sz val="14"/>
      <color theme="1"/>
      <name val="Calibri"/>
      <family val="2"/>
      <scheme val="minor"/>
    </font>
    <font>
      <b/>
      <i/>
      <sz val="10"/>
      <name val="Arial"/>
      <family val="2"/>
    </font>
    <font>
      <b/>
      <i/>
      <sz val="8"/>
      <name val="Arial"/>
      <family val="2"/>
    </font>
    <font>
      <i/>
      <sz val="10"/>
      <name val="Arial"/>
      <family val="2"/>
    </font>
    <font>
      <i/>
      <sz val="8"/>
      <name val="Arial"/>
      <family val="2"/>
    </font>
    <font>
      <b/>
      <i/>
      <sz val="12"/>
      <name val="Arial"/>
      <family val="2"/>
    </font>
    <font>
      <b/>
      <sz val="11"/>
      <name val="Arial"/>
      <family val="2"/>
    </font>
    <font>
      <sz val="8"/>
      <name val="Arial"/>
      <family val="2"/>
    </font>
    <font>
      <b/>
      <sz val="12"/>
      <name val="Courier New"/>
      <family val="3"/>
    </font>
    <font>
      <b/>
      <sz val="8"/>
      <name val="Arial"/>
      <family val="2"/>
    </font>
    <font>
      <b/>
      <sz val="7"/>
      <name val="Arial"/>
      <family val="2"/>
    </font>
    <font>
      <b/>
      <vertAlign val="superscript"/>
      <sz val="8"/>
      <name val="Arial"/>
      <family val="2"/>
    </font>
    <font>
      <vertAlign val="superscript"/>
      <sz val="8"/>
      <name val="Arial"/>
      <family val="2"/>
    </font>
    <font>
      <sz val="9"/>
      <name val="Arial"/>
      <family val="2"/>
    </font>
    <font>
      <sz val="6"/>
      <name val="Arial"/>
      <family val="2"/>
    </font>
    <font>
      <sz val="10"/>
      <name val="Courier New"/>
      <family val="3"/>
    </font>
    <font>
      <b/>
      <sz val="10"/>
      <name val="Courier New"/>
      <family val="3"/>
    </font>
    <font>
      <b/>
      <vertAlign val="superscript"/>
      <sz val="7"/>
      <name val="Arial"/>
      <family val="2"/>
    </font>
    <font>
      <b/>
      <vertAlign val="superscript"/>
      <sz val="10"/>
      <name val="Arial"/>
      <family val="2"/>
    </font>
    <font>
      <b/>
      <sz val="9"/>
      <name val="Arial"/>
      <family val="2"/>
    </font>
    <font>
      <sz val="12"/>
      <name val="Arial"/>
      <family val="2"/>
    </font>
    <font>
      <sz val="13"/>
      <name val="Times New Roman"/>
      <family val="1"/>
    </font>
    <font>
      <sz val="10"/>
      <name val="Times New Roman"/>
      <family val="1"/>
    </font>
    <font>
      <b/>
      <sz val="10"/>
      <name val="Times New Roman"/>
      <family val="1"/>
    </font>
    <font>
      <i/>
      <sz val="10"/>
      <name val="Times New Roman"/>
      <family val="1"/>
    </font>
    <font>
      <b/>
      <sz val="10"/>
      <color rgb="FFFF0000"/>
      <name val="Arial"/>
      <family val="2"/>
    </font>
    <font>
      <b/>
      <sz val="11"/>
      <color rgb="FFFF0000"/>
      <name val="Calibri"/>
      <family val="2"/>
      <scheme val="minor"/>
    </font>
    <font>
      <i/>
      <sz val="10"/>
      <color rgb="FFFF0000"/>
      <name val="Arial"/>
      <family val="2"/>
    </font>
    <font>
      <i/>
      <u/>
      <sz val="10"/>
      <name val="Arial"/>
      <family val="2"/>
    </font>
    <font>
      <sz val="14"/>
      <color rgb="FFFF0000"/>
      <name val="Calibri"/>
      <family val="2"/>
      <scheme val="minor"/>
    </font>
    <font>
      <sz val="11"/>
      <name val="Calibri"/>
      <family val="2"/>
      <scheme val="minor"/>
    </font>
    <font>
      <u/>
      <sz val="11"/>
      <color theme="10"/>
      <name val="Calibri"/>
      <family val="2"/>
      <scheme val="minor"/>
    </font>
    <font>
      <sz val="10"/>
      <color rgb="FFFF0000"/>
      <name val="Times New Roman"/>
      <family val="1"/>
    </font>
    <font>
      <b/>
      <sz val="10"/>
      <color rgb="FFFF0000"/>
      <name val="Times New Roman"/>
      <family val="1"/>
    </font>
    <font>
      <sz val="11"/>
      <name val="Calibri"/>
      <family val="2"/>
    </font>
    <font>
      <sz val="10"/>
      <name val="Arial"/>
      <family val="2"/>
    </font>
    <font>
      <b/>
      <sz val="14"/>
      <name val="Arial"/>
      <family val="2"/>
    </font>
    <font>
      <sz val="14"/>
      <name val="Arial"/>
      <family val="2"/>
    </font>
    <font>
      <b/>
      <sz val="14"/>
      <color indexed="8"/>
      <name val="Arial"/>
      <family val="2"/>
    </font>
    <font>
      <sz val="14"/>
      <color indexed="8"/>
      <name val="Arial"/>
      <family val="2"/>
    </font>
    <font>
      <sz val="13"/>
      <name val="Arial"/>
      <family val="2"/>
    </font>
    <font>
      <b/>
      <sz val="13"/>
      <name val="Arial"/>
      <family val="2"/>
    </font>
    <font>
      <b/>
      <i/>
      <sz val="14"/>
      <name val="Arial"/>
      <family val="2"/>
    </font>
    <font>
      <b/>
      <sz val="12"/>
      <name val="Times New Roman"/>
      <family val="1"/>
    </font>
    <font>
      <b/>
      <sz val="14"/>
      <color indexed="9"/>
      <name val="Arial"/>
      <family val="2"/>
    </font>
    <font>
      <u/>
      <sz val="16"/>
      <name val="Arial"/>
      <family val="2"/>
    </font>
    <font>
      <sz val="12"/>
      <name val="Arial Narrow"/>
      <family val="2"/>
    </font>
    <font>
      <b/>
      <sz val="16"/>
      <name val="Arial Narrow"/>
      <family val="2"/>
    </font>
    <font>
      <b/>
      <sz val="10"/>
      <name val="Arial Narrow"/>
      <family val="2"/>
    </font>
    <font>
      <sz val="10"/>
      <name val="Arial Narrow"/>
      <family val="2"/>
    </font>
    <font>
      <b/>
      <sz val="12"/>
      <name val="Arial Narrow"/>
      <family val="2"/>
    </font>
    <font>
      <b/>
      <u/>
      <sz val="12"/>
      <name val="Arial Narrow"/>
      <family val="2"/>
    </font>
    <font>
      <sz val="11"/>
      <name val="Arial Narrow"/>
      <family val="2"/>
    </font>
    <font>
      <b/>
      <sz val="11"/>
      <name val="Arial Narrow"/>
      <family val="2"/>
    </font>
    <font>
      <b/>
      <sz val="11"/>
      <color rgb="FFFF0000"/>
      <name val="Arial Narrow"/>
      <family val="2"/>
    </font>
    <font>
      <i/>
      <sz val="12"/>
      <name val="Arial Narrow"/>
      <family val="2"/>
    </font>
    <font>
      <sz val="11"/>
      <color rgb="FFFF0000"/>
      <name val="Arial Narrow"/>
      <family val="2"/>
    </font>
    <font>
      <i/>
      <sz val="11"/>
      <color rgb="FFFF0000"/>
      <name val="Arial Narrow"/>
      <family val="2"/>
    </font>
    <font>
      <sz val="12"/>
      <color rgb="FFFF0000"/>
      <name val="Arial Narrow"/>
      <family val="2"/>
    </font>
    <font>
      <i/>
      <sz val="11"/>
      <name val="Arial Narrow"/>
      <family val="2"/>
    </font>
    <font>
      <b/>
      <sz val="12"/>
      <color rgb="FFFF0000"/>
      <name val="Arial Narrow"/>
      <family val="2"/>
    </font>
  </fonts>
  <fills count="2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theme="2" tint="-0.24994659260841701"/>
        <bgColor indexed="64"/>
      </patternFill>
    </fill>
    <fill>
      <patternFill patternType="solid">
        <fgColor rgb="FFFF0000"/>
        <bgColor indexed="64"/>
      </patternFill>
    </fill>
    <fill>
      <patternFill patternType="solid">
        <fgColor theme="2" tint="-0.249977111117893"/>
        <bgColor indexed="64"/>
      </patternFill>
    </fill>
    <fill>
      <patternFill patternType="solid">
        <fgColor indexed="9"/>
        <bgColor indexed="64"/>
      </patternFill>
    </fill>
    <fill>
      <patternFill patternType="solid">
        <fgColor indexed="22"/>
        <bgColor indexed="64"/>
      </patternFill>
    </fill>
    <fill>
      <patternFill patternType="solid">
        <fgColor indexed="22"/>
        <bgColor indexed="9"/>
      </patternFill>
    </fill>
    <fill>
      <patternFill patternType="solid">
        <fgColor indexed="22"/>
        <bgColor indexed="22"/>
      </patternFill>
    </fill>
    <fill>
      <patternFill patternType="solid">
        <fgColor indexed="9"/>
        <bgColor indexed="9"/>
      </patternFill>
    </fill>
    <fill>
      <patternFill patternType="solid">
        <fgColor theme="0" tint="-0.249977111117893"/>
        <bgColor indexed="64"/>
      </patternFill>
    </fill>
    <fill>
      <patternFill patternType="solid">
        <fgColor theme="0" tint="-0.249977111117893"/>
        <bgColor indexed="22"/>
      </patternFill>
    </fill>
    <fill>
      <patternFill patternType="solid">
        <fgColor theme="0" tint="-0.249977111117893"/>
        <bgColor indexed="9"/>
      </patternFill>
    </fill>
    <fill>
      <patternFill patternType="solid">
        <fgColor theme="4" tint="0.39997558519241921"/>
        <bgColor indexed="22"/>
      </patternFill>
    </fill>
    <fill>
      <patternFill patternType="solid">
        <fgColor theme="4" tint="0.39997558519241921"/>
        <bgColor indexed="64"/>
      </patternFill>
    </fill>
    <fill>
      <patternFill patternType="solid">
        <fgColor theme="4" tint="0.39997558519241921"/>
        <bgColor indexed="9"/>
      </patternFill>
    </fill>
    <fill>
      <patternFill patternType="solid">
        <fgColor theme="6" tint="0.59996337778862885"/>
        <bgColor indexed="64"/>
      </patternFill>
    </fill>
    <fill>
      <patternFill patternType="solid">
        <fgColor indexed="43"/>
        <bgColor indexed="64"/>
      </patternFill>
    </fill>
    <fill>
      <patternFill patternType="solid">
        <fgColor rgb="FF92D050"/>
        <bgColor indexed="64"/>
      </patternFill>
    </fill>
    <fill>
      <patternFill patternType="solid">
        <fgColor indexed="8"/>
        <bgColor indexed="64"/>
      </patternFill>
    </fill>
    <fill>
      <patternFill patternType="solid">
        <fgColor rgb="FFFFFF00"/>
        <bgColor indexed="64"/>
      </patternFill>
    </fill>
    <fill>
      <patternFill patternType="solid">
        <fgColor theme="3" tint="0.79998168889431442"/>
        <bgColor indexed="64"/>
      </patternFill>
    </fill>
    <fill>
      <patternFill patternType="solid">
        <fgColor theme="1" tint="0.34998626667073579"/>
        <bgColor indexed="64"/>
      </patternFill>
    </fill>
    <fill>
      <patternFill patternType="solid">
        <fgColor theme="2" tint="-0.749992370372631"/>
        <bgColor indexed="64"/>
      </patternFill>
    </fill>
  </fills>
  <borders count="10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indexed="64"/>
      </top>
      <bottom style="thin">
        <color indexed="64"/>
      </bottom>
      <diagonal/>
    </border>
    <border>
      <left style="medium">
        <color auto="1"/>
      </left>
      <right/>
      <top style="medium">
        <color auto="1"/>
      </top>
      <bottom style="medium">
        <color auto="1"/>
      </bottom>
      <diagonal/>
    </border>
    <border>
      <left style="medium">
        <color auto="1"/>
      </left>
      <right style="medium">
        <color auto="1"/>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dashed">
        <color auto="1"/>
      </left>
      <right style="dashed">
        <color auto="1"/>
      </right>
      <top style="dashed">
        <color auto="1"/>
      </top>
      <bottom style="dashed">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auto="1"/>
      </top>
      <bottom style="thin">
        <color auto="1"/>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auto="1"/>
      </left>
      <right style="thin">
        <color auto="1"/>
      </right>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ck">
        <color indexed="64"/>
      </right>
      <top/>
      <bottom style="thick">
        <color indexed="64"/>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dashed">
        <color auto="1"/>
      </left>
      <right/>
      <top/>
      <bottom/>
      <diagonal/>
    </border>
    <border>
      <left style="dotted">
        <color auto="1"/>
      </left>
      <right style="dotted">
        <color auto="1"/>
      </right>
      <top style="dotted">
        <color auto="1"/>
      </top>
      <bottom style="dotted">
        <color auto="1"/>
      </bottom>
      <diagonal/>
    </border>
    <border>
      <left/>
      <right style="dotted">
        <color auto="1"/>
      </right>
      <top style="dotted">
        <color auto="1"/>
      </top>
      <bottom style="dotted">
        <color auto="1"/>
      </bottom>
      <diagonal/>
    </border>
    <border>
      <left style="medium">
        <color indexed="64"/>
      </left>
      <right style="dotted">
        <color auto="1"/>
      </right>
      <top style="dotted">
        <color auto="1"/>
      </top>
      <bottom style="dotted">
        <color auto="1"/>
      </bottom>
      <diagonal/>
    </border>
    <border>
      <left style="thin">
        <color indexed="64"/>
      </left>
      <right style="thick">
        <color indexed="64"/>
      </right>
      <top style="thin">
        <color indexed="64"/>
      </top>
      <bottom style="thick">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double">
        <color indexed="64"/>
      </right>
      <top/>
      <bottom/>
      <diagonal/>
    </border>
    <border>
      <left style="thin">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double">
        <color indexed="64"/>
      </right>
      <top/>
      <bottom style="double">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top/>
      <bottom style="thin">
        <color indexed="8"/>
      </bottom>
      <diagonal/>
    </border>
    <border>
      <left style="dashed">
        <color auto="1"/>
      </left>
      <right/>
      <top style="dashed">
        <color auto="1"/>
      </top>
      <bottom style="dashed">
        <color auto="1"/>
      </bottom>
      <diagonal/>
    </border>
    <border>
      <left/>
      <right/>
      <top style="thin">
        <color indexed="64"/>
      </top>
      <bottom style="dashed">
        <color auto="1"/>
      </bottom>
      <diagonal/>
    </border>
    <border>
      <left/>
      <right/>
      <top style="dashed">
        <color auto="1"/>
      </top>
      <bottom style="dashed">
        <color auto="1"/>
      </bottom>
      <diagonal/>
    </border>
    <border>
      <left/>
      <right/>
      <top style="dashed">
        <color auto="1"/>
      </top>
      <bottom style="thin">
        <color indexed="64"/>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right/>
      <top style="thin">
        <color indexed="8"/>
      </top>
      <bottom/>
      <diagonal/>
    </border>
    <border>
      <left style="thin">
        <color indexed="8"/>
      </left>
      <right/>
      <top style="thin">
        <color indexed="8"/>
      </top>
      <bottom/>
      <diagonal/>
    </border>
    <border>
      <left/>
      <right style="thin">
        <color indexed="8"/>
      </right>
      <top style="thin">
        <color indexed="8"/>
      </top>
      <bottom style="thin">
        <color indexed="8"/>
      </bottom>
      <diagonal/>
    </border>
    <border>
      <left/>
      <right style="thin">
        <color indexed="64"/>
      </right>
      <top style="thin">
        <color indexed="64"/>
      </top>
      <bottom/>
      <diagonal/>
    </border>
  </borders>
  <cellStyleXfs count="24">
    <xf numFmtId="0" fontId="0"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0" fontId="12" fillId="0" borderId="0"/>
    <xf numFmtId="9"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0" fontId="42" fillId="0" borderId="0"/>
    <xf numFmtId="43" fontId="43" fillId="0" borderId="0" applyFont="0" applyFill="0" applyBorder="0" applyAlignment="0" applyProtection="0"/>
    <xf numFmtId="44" fontId="43" fillId="0" borderId="0" applyFont="0" applyFill="0" applyBorder="0" applyAlignment="0" applyProtection="0"/>
    <xf numFmtId="0" fontId="16" fillId="0" borderId="0"/>
    <xf numFmtId="0" fontId="53" fillId="0" borderId="0" applyNumberForma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57" fillId="0" borderId="0"/>
    <xf numFmtId="9" fontId="10" fillId="0" borderId="0" applyFont="0" applyFill="0" applyBorder="0" applyAlignment="0" applyProtection="0"/>
    <xf numFmtId="0" fontId="68" fillId="0" borderId="0"/>
    <xf numFmtId="43" fontId="68" fillId="0" borderId="0" applyFont="0" applyFill="0" applyBorder="0" applyAlignment="0" applyProtection="0"/>
    <xf numFmtId="44" fontId="68" fillId="0" borderId="0" applyFont="0" applyFill="0" applyBorder="0" applyAlignment="0" applyProtection="0"/>
  </cellStyleXfs>
  <cellXfs count="776">
    <xf numFmtId="0" fontId="0" fillId="0" borderId="0" xfId="0"/>
    <xf numFmtId="0" fontId="4" fillId="0" borderId="0" xfId="1"/>
    <xf numFmtId="37" fontId="4" fillId="0" borderId="0" xfId="1" applyNumberFormat="1"/>
    <xf numFmtId="164" fontId="0" fillId="3" borderId="14" xfId="3" applyNumberFormat="1" applyFont="1" applyFill="1" applyBorder="1"/>
    <xf numFmtId="0" fontId="0" fillId="3" borderId="11" xfId="0" applyFill="1" applyBorder="1"/>
    <xf numFmtId="0" fontId="1" fillId="7" borderId="21" xfId="0" applyFont="1" applyFill="1" applyBorder="1" applyAlignment="1">
      <alignment horizontal="center" vertical="center" wrapText="1"/>
    </xf>
    <xf numFmtId="164" fontId="0" fillId="2" borderId="0" xfId="3" applyNumberFormat="1" applyFont="1" applyFill="1" applyBorder="1"/>
    <xf numFmtId="164" fontId="5" fillId="2" borderId="0" xfId="3" applyNumberFormat="1" applyFont="1" applyFill="1" applyBorder="1"/>
    <xf numFmtId="0" fontId="0" fillId="2" borderId="0" xfId="0" applyFill="1"/>
    <xf numFmtId="0" fontId="2" fillId="2" borderId="0" xfId="0" applyFont="1" applyFill="1"/>
    <xf numFmtId="0" fontId="0" fillId="2" borderId="12" xfId="0" applyFill="1" applyBorder="1"/>
    <xf numFmtId="0" fontId="0" fillId="2" borderId="23" xfId="0" applyFill="1" applyBorder="1"/>
    <xf numFmtId="0" fontId="3" fillId="2" borderId="0" xfId="0" applyFont="1" applyFill="1"/>
    <xf numFmtId="0" fontId="3" fillId="2" borderId="24" xfId="0" applyFont="1" applyFill="1" applyBorder="1"/>
    <xf numFmtId="0" fontId="4" fillId="6" borderId="0" xfId="1" applyFill="1"/>
    <xf numFmtId="37" fontId="4" fillId="2" borderId="0" xfId="1" applyNumberFormat="1" applyFill="1"/>
    <xf numFmtId="0" fontId="16" fillId="2" borderId="0" xfId="6" applyFont="1" applyFill="1"/>
    <xf numFmtId="167" fontId="19" fillId="2" borderId="14" xfId="3" applyNumberFormat="1" applyFont="1" applyFill="1" applyBorder="1"/>
    <xf numFmtId="3" fontId="18" fillId="2" borderId="0" xfId="6" applyNumberFormat="1" applyFont="1" applyFill="1"/>
    <xf numFmtId="10" fontId="18" fillId="2" borderId="0" xfId="7" applyNumberFormat="1" applyFont="1" applyFill="1"/>
    <xf numFmtId="0" fontId="18" fillId="2" borderId="0" xfId="6" applyFont="1" applyFill="1"/>
    <xf numFmtId="4" fontId="18" fillId="2" borderId="0" xfId="6" applyNumberFormat="1" applyFont="1" applyFill="1"/>
    <xf numFmtId="43" fontId="19" fillId="3" borderId="14" xfId="3" applyFont="1" applyFill="1" applyBorder="1"/>
    <xf numFmtId="42" fontId="18" fillId="2" borderId="0" xfId="7" applyNumberFormat="1" applyFont="1" applyFill="1"/>
    <xf numFmtId="0" fontId="16" fillId="2" borderId="0" xfId="6" applyFont="1" applyFill="1" applyAlignment="1">
      <alignment horizontal="center"/>
    </xf>
    <xf numFmtId="0" fontId="18" fillId="2" borderId="0" xfId="6" applyFont="1" applyFill="1" applyAlignment="1">
      <alignment horizontal="center"/>
    </xf>
    <xf numFmtId="4" fontId="18" fillId="2" borderId="0" xfId="6" applyNumberFormat="1" applyFont="1" applyFill="1" applyAlignment="1">
      <alignment horizontal="center"/>
    </xf>
    <xf numFmtId="39" fontId="18" fillId="2" borderId="0" xfId="6" applyNumberFormat="1" applyFont="1" applyFill="1"/>
    <xf numFmtId="37" fontId="18" fillId="2" borderId="0" xfId="6" applyNumberFormat="1" applyFont="1" applyFill="1"/>
    <xf numFmtId="166" fontId="18" fillId="2" borderId="0" xfId="6" applyNumberFormat="1" applyFont="1" applyFill="1"/>
    <xf numFmtId="39" fontId="18" fillId="2" borderId="0" xfId="7" applyNumberFormat="1" applyFont="1" applyFill="1"/>
    <xf numFmtId="166" fontId="18" fillId="2" borderId="0" xfId="7" applyNumberFormat="1" applyFont="1" applyFill="1"/>
    <xf numFmtId="4" fontId="18" fillId="2" borderId="0" xfId="7" applyNumberFormat="1" applyFont="1" applyFill="1"/>
    <xf numFmtId="43" fontId="18" fillId="2" borderId="0" xfId="8" applyFont="1" applyFill="1"/>
    <xf numFmtId="10" fontId="18" fillId="2" borderId="26" xfId="6" applyNumberFormat="1" applyFont="1" applyFill="1" applyBorder="1"/>
    <xf numFmtId="167" fontId="18" fillId="2" borderId="27" xfId="9" applyNumberFormat="1" applyFont="1" applyFill="1" applyBorder="1"/>
    <xf numFmtId="0" fontId="12" fillId="2" borderId="0" xfId="6" applyFill="1" applyAlignment="1">
      <alignment horizontal="right"/>
    </xf>
    <xf numFmtId="37" fontId="20" fillId="2" borderId="0" xfId="6" applyNumberFormat="1" applyFont="1" applyFill="1" applyAlignment="1">
      <alignment horizontal="right"/>
    </xf>
    <xf numFmtId="0" fontId="5" fillId="2" borderId="0" xfId="6" applyFont="1" applyFill="1" applyAlignment="1">
      <alignment horizontal="centerContinuous"/>
    </xf>
    <xf numFmtId="0" fontId="12" fillId="2" borderId="0" xfId="6" applyFill="1"/>
    <xf numFmtId="0" fontId="14" fillId="2" borderId="0" xfId="6" applyFont="1" applyFill="1" applyAlignment="1">
      <alignment horizontal="centerContinuous"/>
    </xf>
    <xf numFmtId="0" fontId="12" fillId="2" borderId="0" xfId="6" applyFill="1" applyAlignment="1">
      <alignment horizontal="centerContinuous"/>
    </xf>
    <xf numFmtId="0" fontId="16" fillId="2" borderId="0" xfId="6" applyFont="1" applyFill="1" applyAlignment="1">
      <alignment horizontal="left" vertical="top"/>
    </xf>
    <xf numFmtId="0" fontId="16" fillId="2" borderId="0" xfId="6" applyFont="1" applyFill="1" applyAlignment="1">
      <alignment horizontal="centerContinuous"/>
    </xf>
    <xf numFmtId="14" fontId="16" fillId="2" borderId="0" xfId="6" applyNumberFormat="1" applyFont="1" applyFill="1"/>
    <xf numFmtId="0" fontId="14" fillId="2" borderId="0" xfId="6" applyFont="1" applyFill="1" applyAlignment="1">
      <alignment horizontal="center"/>
    </xf>
    <xf numFmtId="0" fontId="14" fillId="2" borderId="0" xfId="6" applyFont="1" applyFill="1"/>
    <xf numFmtId="0" fontId="14" fillId="2" borderId="7" xfId="6" applyFont="1" applyFill="1" applyBorder="1" applyAlignment="1">
      <alignment horizontal="center"/>
    </xf>
    <xf numFmtId="37" fontId="12" fillId="2" borderId="0" xfId="6" applyNumberFormat="1" applyFill="1"/>
    <xf numFmtId="0" fontId="4" fillId="2" borderId="0" xfId="1" applyFill="1"/>
    <xf numFmtId="0" fontId="13" fillId="2" borderId="0" xfId="6" applyFont="1" applyFill="1" applyAlignment="1">
      <alignment horizontal="centerContinuous"/>
    </xf>
    <xf numFmtId="0" fontId="15" fillId="2" borderId="0" xfId="6" applyFont="1" applyFill="1" applyAlignment="1">
      <alignment horizontal="centerContinuous"/>
    </xf>
    <xf numFmtId="0" fontId="14" fillId="2" borderId="0" xfId="6" applyFont="1" applyFill="1" applyAlignment="1">
      <alignment horizontal="left" vertical="top"/>
    </xf>
    <xf numFmtId="0" fontId="14" fillId="2" borderId="0" xfId="6" applyFont="1" applyFill="1" applyAlignment="1">
      <alignment horizontal="right"/>
    </xf>
    <xf numFmtId="0" fontId="5" fillId="2" borderId="0" xfId="1" applyFont="1" applyFill="1" applyAlignment="1">
      <alignment horizontal="left"/>
    </xf>
    <xf numFmtId="14" fontId="4" fillId="2" borderId="0" xfId="1" applyNumberFormat="1" applyFill="1"/>
    <xf numFmtId="0" fontId="4" fillId="2" borderId="0" xfId="1" applyFill="1" applyAlignment="1">
      <alignment horizontal="center"/>
    </xf>
    <xf numFmtId="3" fontId="4" fillId="2" borderId="0" xfId="1" applyNumberFormat="1" applyFill="1"/>
    <xf numFmtId="0" fontId="19" fillId="2" borderId="0" xfId="0" applyFont="1" applyFill="1"/>
    <xf numFmtId="43" fontId="19" fillId="2" borderId="0" xfId="3" applyFont="1" applyFill="1"/>
    <xf numFmtId="0" fontId="19" fillId="2" borderId="0" xfId="0" applyFont="1" applyFill="1" applyAlignment="1">
      <alignment horizontal="center"/>
    </xf>
    <xf numFmtId="43" fontId="19" fillId="2" borderId="0" xfId="3" applyFont="1" applyFill="1" applyAlignment="1">
      <alignment horizontal="center"/>
    </xf>
    <xf numFmtId="3" fontId="19" fillId="2" borderId="0" xfId="0" applyNumberFormat="1" applyFont="1" applyFill="1"/>
    <xf numFmtId="0" fontId="18" fillId="2" borderId="0" xfId="0" applyFont="1" applyFill="1"/>
    <xf numFmtId="0" fontId="18" fillId="2" borderId="0" xfId="6" applyFont="1" applyFill="1" applyAlignment="1">
      <alignment horizontal="right"/>
    </xf>
    <xf numFmtId="43" fontId="19" fillId="2" borderId="14" xfId="5" applyNumberFormat="1" applyFont="1" applyFill="1" applyBorder="1"/>
    <xf numFmtId="43" fontId="19" fillId="2" borderId="14" xfId="3" applyFont="1" applyFill="1" applyBorder="1"/>
    <xf numFmtId="37" fontId="4" fillId="2" borderId="0" xfId="6" applyNumberFormat="1" applyFont="1" applyFill="1"/>
    <xf numFmtId="0" fontId="21" fillId="2" borderId="0" xfId="0" applyFont="1" applyFill="1" applyAlignment="1">
      <alignment horizontal="right"/>
    </xf>
    <xf numFmtId="14" fontId="21" fillId="2" borderId="0" xfId="3" applyNumberFormat="1" applyFont="1" applyFill="1" applyAlignment="1">
      <alignment horizontal="left"/>
    </xf>
    <xf numFmtId="0" fontId="21" fillId="2" borderId="0" xfId="0" applyFont="1" applyFill="1"/>
    <xf numFmtId="0" fontId="21" fillId="2" borderId="0" xfId="0" applyFont="1" applyFill="1" applyAlignment="1">
      <alignment horizontal="left" vertical="top"/>
    </xf>
    <xf numFmtId="0" fontId="11" fillId="3" borderId="11" xfId="0" applyFont="1" applyFill="1" applyBorder="1" applyAlignment="1">
      <alignment horizontal="center" vertical="center"/>
    </xf>
    <xf numFmtId="0" fontId="2" fillId="2" borderId="29" xfId="0" applyFont="1" applyFill="1" applyBorder="1"/>
    <xf numFmtId="0" fontId="0" fillId="2" borderId="30" xfId="0" applyFill="1" applyBorder="1"/>
    <xf numFmtId="0" fontId="0" fillId="2" borderId="31" xfId="0" applyFill="1" applyBorder="1"/>
    <xf numFmtId="0" fontId="0" fillId="2" borderId="32" xfId="0" applyFill="1" applyBorder="1"/>
    <xf numFmtId="10" fontId="0" fillId="3" borderId="33" xfId="0" applyNumberFormat="1" applyFill="1" applyBorder="1" applyAlignment="1">
      <alignment horizontal="center" vertical="center" wrapText="1"/>
    </xf>
    <xf numFmtId="0" fontId="0" fillId="3" borderId="34" xfId="0" applyFill="1" applyBorder="1" applyAlignment="1">
      <alignment horizontal="center" vertical="center" wrapText="1"/>
    </xf>
    <xf numFmtId="0" fontId="0" fillId="2" borderId="35" xfId="0" applyFill="1" applyBorder="1"/>
    <xf numFmtId="0" fontId="0" fillId="2" borderId="36" xfId="0" applyFill="1" applyBorder="1"/>
    <xf numFmtId="0" fontId="0" fillId="2" borderId="37" xfId="0" applyFill="1" applyBorder="1"/>
    <xf numFmtId="0" fontId="0" fillId="3" borderId="38" xfId="0" applyFill="1" applyBorder="1" applyAlignment="1">
      <alignment horizontal="center" vertical="center" wrapText="1"/>
    </xf>
    <xf numFmtId="0" fontId="0" fillId="2" borderId="29" xfId="0" applyFill="1" applyBorder="1"/>
    <xf numFmtId="0" fontId="0" fillId="2" borderId="39" xfId="0" applyFill="1" applyBorder="1"/>
    <xf numFmtId="0" fontId="0" fillId="2" borderId="40" xfId="0" applyFill="1" applyBorder="1"/>
    <xf numFmtId="0" fontId="3" fillId="2" borderId="41" xfId="0" applyFont="1" applyFill="1" applyBorder="1"/>
    <xf numFmtId="14" fontId="0" fillId="3" borderId="34" xfId="0" applyNumberFormat="1" applyFill="1" applyBorder="1" applyAlignment="1">
      <alignment horizontal="center" vertical="center" wrapText="1"/>
    </xf>
    <xf numFmtId="0" fontId="5" fillId="2" borderId="0" xfId="0" applyFont="1" applyFill="1" applyAlignment="1">
      <alignment horizontal="center"/>
    </xf>
    <xf numFmtId="0" fontId="5" fillId="2" borderId="0" xfId="0" applyFont="1" applyFill="1"/>
    <xf numFmtId="164" fontId="5" fillId="2" borderId="0" xfId="3" applyNumberFormat="1" applyFont="1" applyFill="1"/>
    <xf numFmtId="164" fontId="0" fillId="3" borderId="43" xfId="3" applyNumberFormat="1" applyFont="1" applyFill="1" applyBorder="1"/>
    <xf numFmtId="164" fontId="0" fillId="3" borderId="44" xfId="3" applyNumberFormat="1" applyFont="1" applyFill="1" applyBorder="1"/>
    <xf numFmtId="164" fontId="0" fillId="3" borderId="45" xfId="3" applyNumberFormat="1" applyFont="1" applyFill="1" applyBorder="1"/>
    <xf numFmtId="164" fontId="24" fillId="2" borderId="0" xfId="3" applyNumberFormat="1" applyFont="1" applyFill="1" applyBorder="1"/>
    <xf numFmtId="168" fontId="0" fillId="3" borderId="46" xfId="0" applyNumberFormat="1" applyFill="1" applyBorder="1" applyAlignment="1">
      <alignment horizontal="center" vertical="center" wrapText="1"/>
    </xf>
    <xf numFmtId="0" fontId="0" fillId="8" borderId="2" xfId="0" applyFill="1" applyBorder="1"/>
    <xf numFmtId="0" fontId="0" fillId="0" borderId="2" xfId="0" applyBorder="1"/>
    <xf numFmtId="0" fontId="0" fillId="8" borderId="0" xfId="0" applyFill="1"/>
    <xf numFmtId="0" fontId="4" fillId="8" borderId="0" xfId="0" applyFont="1" applyFill="1" applyAlignment="1">
      <alignment horizontal="center"/>
    </xf>
    <xf numFmtId="0" fontId="5" fillId="0" borderId="0" xfId="0" applyFont="1" applyAlignment="1">
      <alignment horizontal="left"/>
    </xf>
    <xf numFmtId="0" fontId="0" fillId="8" borderId="7" xfId="0" applyFill="1" applyBorder="1"/>
    <xf numFmtId="2" fontId="0" fillId="8" borderId="0" xfId="0" applyNumberFormat="1" applyFill="1"/>
    <xf numFmtId="0" fontId="29" fillId="8" borderId="1" xfId="0" applyFont="1" applyFill="1" applyBorder="1"/>
    <xf numFmtId="0" fontId="0" fillId="8" borderId="3" xfId="0" applyFill="1" applyBorder="1"/>
    <xf numFmtId="2" fontId="29" fillId="8" borderId="1" xfId="0" applyNumberFormat="1" applyFont="1" applyFill="1" applyBorder="1"/>
    <xf numFmtId="2" fontId="0" fillId="8" borderId="2" xfId="0" applyNumberFormat="1" applyFill="1" applyBorder="1"/>
    <xf numFmtId="0" fontId="30" fillId="8" borderId="0" xfId="0" applyFont="1" applyFill="1"/>
    <xf numFmtId="0" fontId="16" fillId="8" borderId="0" xfId="0" applyFont="1" applyFill="1"/>
    <xf numFmtId="2" fontId="16" fillId="8" borderId="0" xfId="0" applyNumberFormat="1" applyFont="1" applyFill="1"/>
    <xf numFmtId="0" fontId="0" fillId="8" borderId="0" xfId="0" applyFill="1" applyAlignment="1">
      <alignment vertical="center"/>
    </xf>
    <xf numFmtId="0" fontId="31" fillId="9" borderId="50" xfId="0" applyFont="1" applyFill="1" applyBorder="1" applyAlignment="1">
      <alignment horizontal="center" vertical="center"/>
    </xf>
    <xf numFmtId="0" fontId="5" fillId="8" borderId="0" xfId="0" applyFont="1" applyFill="1" applyAlignment="1">
      <alignment vertical="center"/>
    </xf>
    <xf numFmtId="2" fontId="32" fillId="8" borderId="0" xfId="0" applyNumberFormat="1" applyFont="1" applyFill="1" applyAlignment="1">
      <alignment horizontal="centerContinuous" vertical="center"/>
    </xf>
    <xf numFmtId="2" fontId="31" fillId="9" borderId="51" xfId="0" applyNumberFormat="1" applyFont="1" applyFill="1" applyBorder="1" applyAlignment="1">
      <alignment horizontal="centerContinuous" vertical="center"/>
    </xf>
    <xf numFmtId="0" fontId="0" fillId="9" borderId="50" xfId="0" applyFill="1" applyBorder="1" applyAlignment="1">
      <alignment horizontal="centerContinuous"/>
    </xf>
    <xf numFmtId="0" fontId="5" fillId="8" borderId="0" xfId="0" applyFont="1" applyFill="1" applyAlignment="1">
      <alignment horizontal="center"/>
    </xf>
    <xf numFmtId="2" fontId="32" fillId="8" borderId="0" xfId="0" applyNumberFormat="1" applyFont="1" applyFill="1" applyAlignment="1">
      <alignment horizontal="centerContinuous"/>
    </xf>
    <xf numFmtId="0" fontId="5" fillId="8" borderId="0" xfId="0" applyFont="1" applyFill="1"/>
    <xf numFmtId="0" fontId="31" fillId="8" borderId="0" xfId="0" applyFont="1" applyFill="1"/>
    <xf numFmtId="0" fontId="0" fillId="8" borderId="12" xfId="0" applyFill="1" applyBorder="1"/>
    <xf numFmtId="2" fontId="0" fillId="8" borderId="65" xfId="0" applyNumberFormat="1" applyFill="1" applyBorder="1"/>
    <xf numFmtId="0" fontId="0" fillId="8" borderId="23" xfId="0" applyFill="1" applyBorder="1"/>
    <xf numFmtId="0" fontId="29" fillId="8" borderId="68" xfId="0" applyFont="1" applyFill="1" applyBorder="1"/>
    <xf numFmtId="4" fontId="0" fillId="8" borderId="0" xfId="0" applyNumberFormat="1" applyFill="1"/>
    <xf numFmtId="0" fontId="29" fillId="8" borderId="23" xfId="0" applyFont="1" applyFill="1" applyBorder="1"/>
    <xf numFmtId="170" fontId="0" fillId="8" borderId="0" xfId="0" applyNumberFormat="1" applyFill="1"/>
    <xf numFmtId="166" fontId="0" fillId="8" borderId="0" xfId="0" applyNumberFormat="1" applyFill="1"/>
    <xf numFmtId="166" fontId="35" fillId="8" borderId="0" xfId="0" applyNumberFormat="1" applyFont="1" applyFill="1" applyAlignment="1">
      <alignment horizontal="center"/>
    </xf>
    <xf numFmtId="0" fontId="29" fillId="8" borderId="0" xfId="0" applyFont="1" applyFill="1"/>
    <xf numFmtId="4" fontId="0" fillId="8" borderId="0" xfId="0" applyNumberFormat="1" applyFill="1" applyAlignment="1">
      <alignment horizontal="centerContinuous"/>
    </xf>
    <xf numFmtId="4" fontId="0" fillId="0" borderId="0" xfId="0" applyNumberFormat="1"/>
    <xf numFmtId="4" fontId="31" fillId="8" borderId="0" xfId="0" applyNumberFormat="1" applyFont="1" applyFill="1" applyAlignment="1">
      <alignment horizontal="right"/>
    </xf>
    <xf numFmtId="170" fontId="5" fillId="8" borderId="0" xfId="0" applyNumberFormat="1" applyFont="1" applyFill="1" applyAlignment="1">
      <alignment horizontal="centerContinuous"/>
    </xf>
    <xf numFmtId="0" fontId="29" fillId="8" borderId="12" xfId="0" applyFont="1" applyFill="1" applyBorder="1"/>
    <xf numFmtId="0" fontId="31" fillId="8" borderId="12" xfId="0" applyFont="1" applyFill="1" applyBorder="1" applyAlignment="1">
      <alignment horizontal="right"/>
    </xf>
    <xf numFmtId="4" fontId="0" fillId="0" borderId="12" xfId="0" applyNumberFormat="1" applyBorder="1"/>
    <xf numFmtId="170" fontId="5" fillId="8" borderId="12" xfId="0" applyNumberFormat="1" applyFont="1" applyFill="1" applyBorder="1" applyAlignment="1">
      <alignment horizontal="centerContinuous"/>
    </xf>
    <xf numFmtId="0" fontId="0" fillId="8" borderId="13" xfId="0" applyFill="1" applyBorder="1"/>
    <xf numFmtId="0" fontId="31" fillId="8" borderId="0" xfId="0" applyFont="1" applyFill="1" applyAlignment="1">
      <alignment horizontal="right"/>
    </xf>
    <xf numFmtId="0" fontId="26" fillId="8" borderId="67" xfId="0" applyFont="1" applyFill="1" applyBorder="1"/>
    <xf numFmtId="0" fontId="0" fillId="8" borderId="67" xfId="0" applyFill="1" applyBorder="1"/>
    <xf numFmtId="0" fontId="31" fillId="8" borderId="67" xfId="0" applyFont="1" applyFill="1" applyBorder="1" applyAlignment="1">
      <alignment horizontal="right"/>
    </xf>
    <xf numFmtId="170" fontId="5" fillId="8" borderId="67" xfId="0" applyNumberFormat="1" applyFont="1" applyFill="1" applyBorder="1" applyAlignment="1">
      <alignment horizontal="centerContinuous"/>
    </xf>
    <xf numFmtId="0" fontId="4" fillId="8" borderId="0" xfId="0" applyFont="1" applyFill="1"/>
    <xf numFmtId="166" fontId="0" fillId="8" borderId="0" xfId="0" applyNumberFormat="1" applyFill="1" applyAlignment="1">
      <alignment horizontal="center"/>
    </xf>
    <xf numFmtId="0" fontId="0" fillId="8" borderId="0" xfId="0" applyFill="1" applyAlignment="1">
      <alignment horizontal="center"/>
    </xf>
    <xf numFmtId="166" fontId="0" fillId="8" borderId="0" xfId="0" applyNumberFormat="1" applyFill="1" applyAlignment="1">
      <alignment horizontal="centerContinuous"/>
    </xf>
    <xf numFmtId="9" fontId="5" fillId="0" borderId="0" xfId="0" applyNumberFormat="1" applyFont="1"/>
    <xf numFmtId="0" fontId="35" fillId="8" borderId="0" xfId="0" applyFont="1" applyFill="1"/>
    <xf numFmtId="0" fontId="36" fillId="8" borderId="0" xfId="0" applyFont="1" applyFill="1"/>
    <xf numFmtId="0" fontId="31" fillId="8" borderId="0" xfId="0" applyFont="1" applyFill="1" applyAlignment="1">
      <alignment horizontal="center" vertical="top"/>
    </xf>
    <xf numFmtId="10" fontId="5" fillId="8" borderId="0" xfId="0" applyNumberFormat="1" applyFont="1" applyFill="1" applyAlignment="1">
      <alignment horizontal="centerContinuous"/>
    </xf>
    <xf numFmtId="0" fontId="36" fillId="8" borderId="12" xfId="0" applyFont="1" applyFill="1" applyBorder="1" applyAlignment="1">
      <alignment vertical="top"/>
    </xf>
    <xf numFmtId="2" fontId="0" fillId="8" borderId="12" xfId="0" applyNumberFormat="1" applyFill="1" applyBorder="1"/>
    <xf numFmtId="0" fontId="38" fillId="8" borderId="0" xfId="0" applyFont="1" applyFill="1" applyAlignment="1">
      <alignment vertical="center"/>
    </xf>
    <xf numFmtId="0" fontId="5" fillId="8" borderId="0" xfId="0" applyFont="1" applyFill="1" applyAlignment="1">
      <alignment vertical="top"/>
    </xf>
    <xf numFmtId="4" fontId="4" fillId="8" borderId="0" xfId="0" applyNumberFormat="1" applyFont="1" applyFill="1"/>
    <xf numFmtId="0" fontId="32" fillId="9" borderId="75" xfId="0" applyFont="1" applyFill="1" applyBorder="1" applyAlignment="1">
      <alignment horizontal="centerContinuous"/>
    </xf>
    <xf numFmtId="4" fontId="5" fillId="8" borderId="0" xfId="0" applyNumberFormat="1" applyFont="1" applyFill="1"/>
    <xf numFmtId="4" fontId="5" fillId="8" borderId="0" xfId="0" applyNumberFormat="1" applyFont="1" applyFill="1" applyAlignment="1">
      <alignment horizontal="center"/>
    </xf>
    <xf numFmtId="4" fontId="4" fillId="8" borderId="0" xfId="0" applyNumberFormat="1" applyFont="1" applyFill="1" applyAlignment="1">
      <alignment horizontal="centerContinuous"/>
    </xf>
    <xf numFmtId="169" fontId="4" fillId="8" borderId="0" xfId="0" applyNumberFormat="1" applyFont="1" applyFill="1" applyAlignment="1">
      <alignment horizontal="center"/>
    </xf>
    <xf numFmtId="172" fontId="0" fillId="0" borderId="0" xfId="0" applyNumberFormat="1"/>
    <xf numFmtId="0" fontId="26" fillId="8" borderId="0" xfId="0" applyFont="1" applyFill="1"/>
    <xf numFmtId="4" fontId="4" fillId="8" borderId="0" xfId="0" applyNumberFormat="1" applyFont="1" applyFill="1" applyAlignment="1">
      <alignment horizontal="right"/>
    </xf>
    <xf numFmtId="0" fontId="29" fillId="8" borderId="0" xfId="0" applyFont="1" applyFill="1" applyAlignment="1">
      <alignment horizontal="right"/>
    </xf>
    <xf numFmtId="4" fontId="4" fillId="8" borderId="12" xfId="0" applyNumberFormat="1" applyFont="1" applyFill="1" applyBorder="1"/>
    <xf numFmtId="0" fontId="32" fillId="8" borderId="0" xfId="0" applyFont="1" applyFill="1" applyAlignment="1">
      <alignment horizontal="centerContinuous" vertical="top"/>
    </xf>
    <xf numFmtId="0" fontId="37" fillId="0" borderId="66" xfId="0" applyFont="1" applyBorder="1"/>
    <xf numFmtId="0" fontId="0" fillId="0" borderId="67" xfId="0" applyBorder="1"/>
    <xf numFmtId="0" fontId="4" fillId="8" borderId="67" xfId="0" applyFont="1" applyFill="1" applyBorder="1"/>
    <xf numFmtId="4" fontId="4" fillId="8" borderId="68" xfId="0" applyNumberFormat="1" applyFont="1" applyFill="1" applyBorder="1"/>
    <xf numFmtId="0" fontId="4" fillId="8" borderId="12" xfId="0" applyFont="1" applyFill="1" applyBorder="1"/>
    <xf numFmtId="0" fontId="0" fillId="0" borderId="60" xfId="0" applyBorder="1"/>
    <xf numFmtId="0" fontId="0" fillId="0" borderId="65" xfId="0" applyBorder="1"/>
    <xf numFmtId="44" fontId="29" fillId="8" borderId="23" xfId="0" applyNumberFormat="1" applyFont="1" applyFill="1" applyBorder="1"/>
    <xf numFmtId="4" fontId="4" fillId="8" borderId="12" xfId="0" applyNumberFormat="1" applyFont="1" applyFill="1" applyBorder="1" applyAlignment="1">
      <alignment horizontal="right"/>
    </xf>
    <xf numFmtId="0" fontId="29" fillId="8" borderId="12" xfId="0" applyFont="1" applyFill="1" applyBorder="1" applyAlignment="1">
      <alignment horizontal="right"/>
    </xf>
    <xf numFmtId="0" fontId="38" fillId="8" borderId="67" xfId="0" applyFont="1" applyFill="1" applyBorder="1" applyAlignment="1">
      <alignment vertical="center"/>
    </xf>
    <xf numFmtId="0" fontId="5" fillId="8" borderId="67" xfId="0" applyFont="1" applyFill="1" applyBorder="1" applyAlignment="1">
      <alignment vertical="top"/>
    </xf>
    <xf numFmtId="4" fontId="4" fillId="8" borderId="67" xfId="0" applyNumberFormat="1" applyFont="1" applyFill="1" applyBorder="1"/>
    <xf numFmtId="0" fontId="4" fillId="0" borderId="0" xfId="0" applyFont="1"/>
    <xf numFmtId="0" fontId="29" fillId="0" borderId="0" xfId="0" applyFont="1"/>
    <xf numFmtId="0" fontId="4" fillId="8" borderId="0" xfId="0" applyFont="1" applyFill="1" applyAlignment="1">
      <alignment horizontal="right"/>
    </xf>
    <xf numFmtId="0" fontId="4" fillId="8" borderId="66" xfId="0" applyFont="1" applyFill="1" applyBorder="1"/>
    <xf numFmtId="0" fontId="4" fillId="8" borderId="68" xfId="0" applyFont="1" applyFill="1" applyBorder="1"/>
    <xf numFmtId="0" fontId="5" fillId="8" borderId="60" xfId="0" quotePrefix="1" applyFont="1" applyFill="1" applyBorder="1" applyAlignment="1">
      <alignment horizontal="left"/>
    </xf>
    <xf numFmtId="0" fontId="4" fillId="8" borderId="24" xfId="0" applyFont="1" applyFill="1" applyBorder="1"/>
    <xf numFmtId="0" fontId="5" fillId="8" borderId="60" xfId="0" applyFont="1" applyFill="1" applyBorder="1"/>
    <xf numFmtId="0" fontId="4" fillId="8" borderId="60" xfId="0" applyFont="1" applyFill="1" applyBorder="1"/>
    <xf numFmtId="173" fontId="4" fillId="8" borderId="12" xfId="0" applyNumberFormat="1" applyFont="1" applyFill="1" applyBorder="1"/>
    <xf numFmtId="0" fontId="5" fillId="8" borderId="66" xfId="0" applyFont="1" applyFill="1" applyBorder="1" applyAlignment="1">
      <alignment horizontal="centerContinuous"/>
    </xf>
    <xf numFmtId="0" fontId="5" fillId="8" borderId="67" xfId="0" applyFont="1" applyFill="1" applyBorder="1" applyAlignment="1">
      <alignment horizontal="centerContinuous"/>
    </xf>
    <xf numFmtId="0" fontId="5" fillId="8" borderId="71" xfId="0" applyFont="1" applyFill="1" applyBorder="1" applyAlignment="1">
      <alignment horizontal="centerContinuous"/>
    </xf>
    <xf numFmtId="0" fontId="5" fillId="8" borderId="13" xfId="0" applyFont="1" applyFill="1" applyBorder="1" applyAlignment="1">
      <alignment horizontal="centerContinuous"/>
    </xf>
    <xf numFmtId="0" fontId="4" fillId="8" borderId="23" xfId="0" applyFont="1" applyFill="1" applyBorder="1"/>
    <xf numFmtId="0" fontId="14" fillId="0" borderId="0" xfId="0" applyFont="1" applyAlignment="1">
      <alignment horizontal="centerContinuous"/>
    </xf>
    <xf numFmtId="0" fontId="0" fillId="0" borderId="12" xfId="0" applyBorder="1"/>
    <xf numFmtId="0" fontId="5" fillId="0" borderId="0" xfId="0" applyFont="1"/>
    <xf numFmtId="0" fontId="5" fillId="0" borderId="0" xfId="0" applyFont="1" applyAlignment="1">
      <alignment horizontal="center"/>
    </xf>
    <xf numFmtId="170" fontId="0" fillId="0" borderId="0" xfId="0" applyNumberFormat="1"/>
    <xf numFmtId="4" fontId="5" fillId="0" borderId="0" xfId="0" applyNumberFormat="1" applyFont="1"/>
    <xf numFmtId="4" fontId="4" fillId="0" borderId="0" xfId="0" applyNumberFormat="1" applyFont="1"/>
    <xf numFmtId="10" fontId="0" fillId="0" borderId="0" xfId="0" applyNumberFormat="1"/>
    <xf numFmtId="0" fontId="35" fillId="0" borderId="12" xfId="0" applyFont="1" applyBorder="1"/>
    <xf numFmtId="0" fontId="4" fillId="8" borderId="12" xfId="0" applyFont="1" applyFill="1" applyBorder="1" applyAlignment="1" applyProtection="1">
      <alignment horizontal="center"/>
      <protection locked="0"/>
    </xf>
    <xf numFmtId="0" fontId="41" fillId="8" borderId="62" xfId="0" applyFont="1" applyFill="1" applyBorder="1" applyAlignment="1">
      <alignment vertical="top"/>
    </xf>
    <xf numFmtId="0" fontId="0" fillId="8" borderId="62" xfId="0" applyFill="1" applyBorder="1"/>
    <xf numFmtId="0" fontId="29" fillId="8" borderId="71" xfId="0" applyFont="1" applyFill="1" applyBorder="1" applyAlignment="1">
      <alignment wrapText="1"/>
    </xf>
    <xf numFmtId="0" fontId="29" fillId="8" borderId="13" xfId="0" applyFont="1" applyFill="1" applyBorder="1"/>
    <xf numFmtId="0" fontId="29" fillId="8" borderId="72" xfId="0" applyFont="1" applyFill="1" applyBorder="1"/>
    <xf numFmtId="4" fontId="4" fillId="8" borderId="69" xfId="3" applyNumberFormat="1" applyFont="1" applyFill="1" applyBorder="1" applyAlignment="1" applyProtection="1">
      <protection locked="0"/>
    </xf>
    <xf numFmtId="4" fontId="4" fillId="8" borderId="22" xfId="3" applyNumberFormat="1" applyFont="1" applyFill="1" applyBorder="1" applyAlignment="1" applyProtection="1">
      <protection locked="0"/>
    </xf>
    <xf numFmtId="4" fontId="4" fillId="8" borderId="69" xfId="3" applyNumberFormat="1" applyFill="1" applyBorder="1" applyAlignment="1" applyProtection="1">
      <protection locked="0"/>
    </xf>
    <xf numFmtId="4" fontId="4" fillId="8" borderId="22" xfId="3" applyNumberFormat="1" applyFill="1" applyBorder="1" applyAlignment="1" applyProtection="1">
      <protection locked="0"/>
    </xf>
    <xf numFmtId="10" fontId="5" fillId="8" borderId="69" xfId="3" applyNumberFormat="1" applyFont="1" applyFill="1" applyBorder="1" applyAlignment="1" applyProtection="1">
      <alignment horizontal="left"/>
    </xf>
    <xf numFmtId="175" fontId="0" fillId="8" borderId="0" xfId="0" applyNumberFormat="1" applyFill="1"/>
    <xf numFmtId="170" fontId="5" fillId="8" borderId="70" xfId="3" applyNumberFormat="1" applyFont="1" applyFill="1" applyBorder="1" applyAlignment="1" applyProtection="1">
      <alignment horizontal="center"/>
    </xf>
    <xf numFmtId="176" fontId="0" fillId="8" borderId="0" xfId="0" applyNumberFormat="1" applyFill="1"/>
    <xf numFmtId="0" fontId="29" fillId="8" borderId="77" xfId="0" applyFont="1" applyFill="1" applyBorder="1" applyAlignment="1">
      <alignment wrapText="1"/>
    </xf>
    <xf numFmtId="169" fontId="29" fillId="8" borderId="78" xfId="0" applyNumberFormat="1" applyFont="1" applyFill="1" applyBorder="1" applyAlignment="1" applyProtection="1">
      <alignment horizontal="center"/>
      <protection locked="0"/>
    </xf>
    <xf numFmtId="169" fontId="29" fillId="8" borderId="13" xfId="0" applyNumberFormat="1" applyFont="1" applyFill="1" applyBorder="1" applyAlignment="1" applyProtection="1">
      <alignment horizontal="center"/>
      <protection locked="0"/>
    </xf>
    <xf numFmtId="4" fontId="4" fillId="8" borderId="22" xfId="3" applyNumberFormat="1" applyFill="1" applyBorder="1" applyAlignment="1" applyProtection="1"/>
    <xf numFmtId="170" fontId="29" fillId="8" borderId="0" xfId="0" applyNumberFormat="1" applyFont="1" applyFill="1" applyAlignment="1">
      <alignment vertical="center"/>
    </xf>
    <xf numFmtId="0" fontId="29" fillId="8" borderId="66" xfId="0" applyFont="1" applyFill="1" applyBorder="1" applyAlignment="1">
      <alignment wrapText="1"/>
    </xf>
    <xf numFmtId="169" fontId="29" fillId="8" borderId="12" xfId="0" applyNumberFormat="1" applyFont="1" applyFill="1" applyBorder="1" applyAlignment="1" applyProtection="1">
      <alignment horizontal="center"/>
      <protection locked="0"/>
    </xf>
    <xf numFmtId="4" fontId="4" fillId="8" borderId="69" xfId="3" applyNumberFormat="1" applyFill="1" applyBorder="1" applyAlignment="1" applyProtection="1"/>
    <xf numFmtId="166" fontId="29" fillId="8" borderId="0" xfId="0" applyNumberFormat="1" applyFont="1" applyFill="1" applyAlignment="1">
      <alignment horizontal="right" vertical="center"/>
    </xf>
    <xf numFmtId="0" fontId="36" fillId="8" borderId="0" xfId="0" applyFont="1" applyFill="1" applyAlignment="1">
      <alignment horizontal="left" vertical="top"/>
    </xf>
    <xf numFmtId="0" fontId="26" fillId="8" borderId="0" xfId="0" applyFont="1" applyFill="1" applyAlignment="1">
      <alignment vertical="top"/>
    </xf>
    <xf numFmtId="2" fontId="26" fillId="8" borderId="0" xfId="0" applyNumberFormat="1" applyFont="1" applyFill="1" applyAlignment="1">
      <alignment horizontal="right"/>
    </xf>
    <xf numFmtId="0" fontId="0" fillId="0" borderId="0" xfId="0" applyAlignment="1">
      <alignment horizontal="right"/>
    </xf>
    <xf numFmtId="0" fontId="14" fillId="0" borderId="2" xfId="0" applyFont="1" applyBorder="1"/>
    <xf numFmtId="169" fontId="29" fillId="8" borderId="13" xfId="0" applyNumberFormat="1" applyFont="1" applyFill="1" applyBorder="1" applyAlignment="1">
      <alignment horizontal="center"/>
    </xf>
    <xf numFmtId="4" fontId="4" fillId="8" borderId="69" xfId="0" applyNumberFormat="1" applyFont="1" applyFill="1" applyBorder="1" applyProtection="1">
      <protection locked="0"/>
    </xf>
    <xf numFmtId="4" fontId="4" fillId="8" borderId="69" xfId="0" applyNumberFormat="1" applyFont="1" applyFill="1" applyBorder="1"/>
    <xf numFmtId="4" fontId="4" fillId="8" borderId="22" xfId="0" applyNumberFormat="1" applyFont="1" applyFill="1" applyBorder="1" applyProtection="1">
      <protection locked="0"/>
    </xf>
    <xf numFmtId="4" fontId="4" fillId="8" borderId="22" xfId="0" applyNumberFormat="1" applyFont="1" applyFill="1" applyBorder="1"/>
    <xf numFmtId="4" fontId="4" fillId="8" borderId="12" xfId="0" applyNumberFormat="1" applyFont="1" applyFill="1" applyBorder="1" applyProtection="1">
      <protection locked="0"/>
    </xf>
    <xf numFmtId="44" fontId="29" fillId="8" borderId="24" xfId="0" applyNumberFormat="1" applyFont="1" applyFill="1" applyBorder="1" applyProtection="1">
      <protection locked="0"/>
    </xf>
    <xf numFmtId="43" fontId="29" fillId="8" borderId="24" xfId="0" applyNumberFormat="1" applyFont="1" applyFill="1" applyBorder="1" applyProtection="1">
      <protection locked="0"/>
    </xf>
    <xf numFmtId="43" fontId="29" fillId="8" borderId="23" xfId="0" applyNumberFormat="1" applyFont="1" applyFill="1" applyBorder="1" applyProtection="1">
      <protection locked="0"/>
    </xf>
    <xf numFmtId="164" fontId="44" fillId="0" borderId="22" xfId="11" applyNumberFormat="1" applyFont="1" applyFill="1" applyBorder="1" applyProtection="1"/>
    <xf numFmtId="167" fontId="45" fillId="0" borderId="22" xfId="12" applyNumberFormat="1" applyFont="1" applyFill="1" applyBorder="1" applyProtection="1"/>
    <xf numFmtId="0" fontId="45" fillId="10" borderId="79" xfId="13" applyFont="1" applyFill="1" applyBorder="1" applyAlignment="1">
      <alignment horizontal="center"/>
    </xf>
    <xf numFmtId="0" fontId="45" fillId="10" borderId="81" xfId="13" applyFont="1" applyFill="1" applyBorder="1" applyAlignment="1">
      <alignment horizontal="center"/>
    </xf>
    <xf numFmtId="0" fontId="44" fillId="0" borderId="23" xfId="13" applyFont="1" applyBorder="1"/>
    <xf numFmtId="0" fontId="44" fillId="0" borderId="70" xfId="13" applyFont="1" applyBorder="1"/>
    <xf numFmtId="0" fontId="45" fillId="11" borderId="80" xfId="13" applyFont="1" applyFill="1" applyBorder="1" applyAlignment="1">
      <alignment horizontal="center"/>
    </xf>
    <xf numFmtId="0" fontId="44" fillId="0" borderId="72" xfId="13" applyFont="1" applyBorder="1"/>
    <xf numFmtId="0" fontId="44" fillId="0" borderId="22" xfId="13" applyFont="1" applyBorder="1"/>
    <xf numFmtId="37" fontId="44" fillId="12" borderId="22" xfId="13" applyNumberFormat="1" applyFont="1" applyFill="1" applyBorder="1"/>
    <xf numFmtId="5" fontId="45" fillId="8" borderId="22" xfId="13" applyNumberFormat="1" applyFont="1" applyFill="1" applyBorder="1"/>
    <xf numFmtId="5" fontId="45" fillId="12" borderId="22" xfId="13" applyNumberFormat="1" applyFont="1" applyFill="1" applyBorder="1"/>
    <xf numFmtId="0" fontId="45" fillId="11" borderId="22" xfId="13" applyFont="1" applyFill="1" applyBorder="1"/>
    <xf numFmtId="0" fontId="45" fillId="0" borderId="22" xfId="13" applyFont="1" applyBorder="1"/>
    <xf numFmtId="0" fontId="44" fillId="0" borderId="22" xfId="13" applyFont="1" applyBorder="1" applyAlignment="1">
      <alignment horizontal="left"/>
    </xf>
    <xf numFmtId="5" fontId="44" fillId="12" borderId="22" xfId="13" applyNumberFormat="1" applyFont="1" applyFill="1" applyBorder="1" applyAlignment="1">
      <alignment horizontal="right"/>
    </xf>
    <xf numFmtId="37" fontId="44" fillId="12" borderId="22" xfId="13" applyNumberFormat="1" applyFont="1" applyFill="1" applyBorder="1" applyAlignment="1">
      <alignment horizontal="right"/>
    </xf>
    <xf numFmtId="177" fontId="44" fillId="12" borderId="22" xfId="13" applyNumberFormat="1" applyFont="1" applyFill="1" applyBorder="1"/>
    <xf numFmtId="177" fontId="44" fillId="0" borderId="22" xfId="13" applyNumberFormat="1" applyFont="1" applyBorder="1"/>
    <xf numFmtId="43" fontId="44" fillId="0" borderId="22" xfId="11" applyFont="1" applyBorder="1"/>
    <xf numFmtId="43" fontId="44" fillId="0" borderId="22" xfId="13" applyNumberFormat="1" applyFont="1" applyBorder="1"/>
    <xf numFmtId="0" fontId="45" fillId="14" borderId="22" xfId="13" applyFont="1" applyFill="1" applyBorder="1" applyAlignment="1">
      <alignment horizontal="left"/>
    </xf>
    <xf numFmtId="0" fontId="44" fillId="13" borderId="22" xfId="13" applyFont="1" applyFill="1" applyBorder="1" applyAlignment="1">
      <alignment horizontal="left"/>
    </xf>
    <xf numFmtId="0" fontId="46" fillId="15" borderId="22" xfId="13" applyFont="1" applyFill="1" applyBorder="1" applyAlignment="1">
      <alignment horizontal="left"/>
    </xf>
    <xf numFmtId="0" fontId="44" fillId="13" borderId="22" xfId="13" applyFont="1" applyFill="1" applyBorder="1"/>
    <xf numFmtId="0" fontId="44" fillId="15" borderId="22" xfId="13" applyFont="1" applyFill="1" applyBorder="1" applyAlignment="1">
      <alignment horizontal="left"/>
    </xf>
    <xf numFmtId="0" fontId="44" fillId="15" borderId="22" xfId="13" applyFont="1" applyFill="1" applyBorder="1" applyAlignment="1">
      <alignment horizontal="right"/>
    </xf>
    <xf numFmtId="0" fontId="45" fillId="13" borderId="22" xfId="13" applyFont="1" applyFill="1" applyBorder="1" applyAlignment="1">
      <alignment horizontal="left"/>
    </xf>
    <xf numFmtId="0" fontId="45" fillId="13" borderId="22" xfId="13" applyFont="1" applyFill="1" applyBorder="1" applyAlignment="1">
      <alignment horizontal="right"/>
    </xf>
    <xf numFmtId="0" fontId="45" fillId="15" borderId="22" xfId="13" applyFont="1" applyFill="1" applyBorder="1" applyAlignment="1">
      <alignment horizontal="left"/>
    </xf>
    <xf numFmtId="0" fontId="45" fillId="15" borderId="22" xfId="13" applyFont="1" applyFill="1" applyBorder="1" applyAlignment="1">
      <alignment horizontal="right"/>
    </xf>
    <xf numFmtId="0" fontId="45" fillId="14" borderId="22" xfId="13" applyFont="1" applyFill="1" applyBorder="1"/>
    <xf numFmtId="0" fontId="45" fillId="13" borderId="22" xfId="13" applyFont="1" applyFill="1" applyBorder="1"/>
    <xf numFmtId="0" fontId="46" fillId="15" borderId="22" xfId="13" applyFont="1" applyFill="1" applyBorder="1" applyAlignment="1">
      <alignment horizontal="right"/>
    </xf>
    <xf numFmtId="0" fontId="44" fillId="13" borderId="22" xfId="13" applyFont="1" applyFill="1" applyBorder="1" applyAlignment="1">
      <alignment horizontal="right"/>
    </xf>
    <xf numFmtId="0" fontId="45" fillId="14" borderId="22" xfId="13" applyFont="1" applyFill="1" applyBorder="1" applyAlignment="1">
      <alignment horizontal="right"/>
    </xf>
    <xf numFmtId="0" fontId="44" fillId="14" borderId="22" xfId="13" applyFont="1" applyFill="1" applyBorder="1"/>
    <xf numFmtId="37" fontId="44" fillId="15" borderId="22" xfId="13" applyNumberFormat="1" applyFont="1" applyFill="1" applyBorder="1"/>
    <xf numFmtId="0" fontId="44" fillId="15" borderId="22" xfId="13" applyFont="1" applyFill="1" applyBorder="1"/>
    <xf numFmtId="0" fontId="44" fillId="15" borderId="70" xfId="13" applyFont="1" applyFill="1" applyBorder="1" applyAlignment="1">
      <alignment horizontal="left"/>
    </xf>
    <xf numFmtId="0" fontId="44" fillId="15" borderId="70" xfId="13" applyFont="1" applyFill="1" applyBorder="1" applyAlignment="1">
      <alignment horizontal="right"/>
    </xf>
    <xf numFmtId="0" fontId="44" fillId="15" borderId="70" xfId="13" applyFont="1" applyFill="1" applyBorder="1"/>
    <xf numFmtId="5" fontId="45" fillId="13" borderId="22" xfId="13" applyNumberFormat="1" applyFont="1" applyFill="1" applyBorder="1"/>
    <xf numFmtId="5" fontId="45" fillId="15" borderId="22" xfId="13" applyNumberFormat="1" applyFont="1" applyFill="1" applyBorder="1"/>
    <xf numFmtId="164" fontId="44" fillId="13" borderId="22" xfId="11" applyNumberFormat="1" applyFont="1" applyFill="1" applyBorder="1" applyProtection="1"/>
    <xf numFmtId="164" fontId="45" fillId="13" borderId="22" xfId="13" applyNumberFormat="1" applyFont="1" applyFill="1" applyBorder="1"/>
    <xf numFmtId="164" fontId="0" fillId="13" borderId="83" xfId="3" applyNumberFormat="1" applyFont="1" applyFill="1" applyBorder="1"/>
    <xf numFmtId="37" fontId="44" fillId="15" borderId="71" xfId="13" applyNumberFormat="1" applyFont="1" applyFill="1" applyBorder="1"/>
    <xf numFmtId="177" fontId="44" fillId="15" borderId="22" xfId="13" applyNumberFormat="1" applyFont="1" applyFill="1" applyBorder="1"/>
    <xf numFmtId="5" fontId="44" fillId="13" borderId="22" xfId="13" applyNumberFormat="1" applyFont="1" applyFill="1" applyBorder="1" applyAlignment="1">
      <alignment horizontal="right"/>
    </xf>
    <xf numFmtId="37" fontId="44" fillId="13" borderId="22" xfId="13" applyNumberFormat="1" applyFont="1" applyFill="1" applyBorder="1"/>
    <xf numFmtId="0" fontId="45" fillId="13" borderId="71" xfId="13" applyFont="1" applyFill="1" applyBorder="1"/>
    <xf numFmtId="0" fontId="45" fillId="16" borderId="22" xfId="13" applyFont="1" applyFill="1" applyBorder="1" applyAlignment="1">
      <alignment horizontal="left"/>
    </xf>
    <xf numFmtId="0" fontId="45" fillId="18" borderId="22" xfId="13" applyFont="1" applyFill="1" applyBorder="1" applyAlignment="1">
      <alignment horizontal="left"/>
    </xf>
    <xf numFmtId="0" fontId="45" fillId="18" borderId="22" xfId="13" applyFont="1" applyFill="1" applyBorder="1" applyAlignment="1">
      <alignment horizontal="right"/>
    </xf>
    <xf numFmtId="177" fontId="45" fillId="18" borderId="22" xfId="13" applyNumberFormat="1" applyFont="1" applyFill="1" applyBorder="1"/>
    <xf numFmtId="164" fontId="0" fillId="17" borderId="0" xfId="3" applyNumberFormat="1" applyFont="1" applyFill="1" applyBorder="1"/>
    <xf numFmtId="0" fontId="45" fillId="11" borderId="82" xfId="13" applyFont="1" applyFill="1" applyBorder="1" applyAlignment="1">
      <alignment horizontal="center"/>
    </xf>
    <xf numFmtId="0" fontId="44" fillId="15" borderId="65" xfId="13" applyFont="1" applyFill="1" applyBorder="1"/>
    <xf numFmtId="0" fontId="44" fillId="14" borderId="71" xfId="13" applyFont="1" applyFill="1" applyBorder="1"/>
    <xf numFmtId="164" fontId="0" fillId="13" borderId="84" xfId="3" applyNumberFormat="1" applyFont="1" applyFill="1" applyBorder="1"/>
    <xf numFmtId="37" fontId="44" fillId="15" borderId="13" xfId="13" applyNumberFormat="1" applyFont="1" applyFill="1" applyBorder="1"/>
    <xf numFmtId="164" fontId="0" fillId="13" borderId="85" xfId="3" applyNumberFormat="1" applyFont="1" applyFill="1" applyBorder="1"/>
    <xf numFmtId="164" fontId="0" fillId="13" borderId="86" xfId="3" applyNumberFormat="1" applyFont="1" applyFill="1" applyBorder="1"/>
    <xf numFmtId="5" fontId="45" fillId="13" borderId="71" xfId="13" applyNumberFormat="1" applyFont="1" applyFill="1" applyBorder="1"/>
    <xf numFmtId="5" fontId="45" fillId="15" borderId="71" xfId="13" applyNumberFormat="1" applyFont="1" applyFill="1" applyBorder="1"/>
    <xf numFmtId="0" fontId="44" fillId="15" borderId="71" xfId="13" applyFont="1" applyFill="1" applyBorder="1"/>
    <xf numFmtId="0" fontId="45" fillId="13" borderId="13" xfId="13" applyFont="1" applyFill="1" applyBorder="1"/>
    <xf numFmtId="0" fontId="45" fillId="11" borderId="71" xfId="13" applyFont="1" applyFill="1" applyBorder="1"/>
    <xf numFmtId="37" fontId="44" fillId="12" borderId="71" xfId="13" applyNumberFormat="1" applyFont="1" applyFill="1" applyBorder="1"/>
    <xf numFmtId="0" fontId="45" fillId="0" borderId="71" xfId="13" applyFont="1" applyBorder="1"/>
    <xf numFmtId="5" fontId="45" fillId="8" borderId="71" xfId="13" applyNumberFormat="1" applyFont="1" applyFill="1" applyBorder="1"/>
    <xf numFmtId="5" fontId="44" fillId="12" borderId="71" xfId="13" applyNumberFormat="1" applyFont="1" applyFill="1" applyBorder="1" applyAlignment="1">
      <alignment horizontal="right"/>
    </xf>
    <xf numFmtId="5" fontId="45" fillId="12" borderId="71" xfId="13" applyNumberFormat="1" applyFont="1" applyFill="1" applyBorder="1"/>
    <xf numFmtId="37" fontId="44" fillId="12" borderId="71" xfId="13" applyNumberFormat="1" applyFont="1" applyFill="1" applyBorder="1" applyAlignment="1">
      <alignment horizontal="right"/>
    </xf>
    <xf numFmtId="0" fontId="45" fillId="14" borderId="71" xfId="13" applyFont="1" applyFill="1" applyBorder="1"/>
    <xf numFmtId="5" fontId="44" fillId="13" borderId="71" xfId="13" applyNumberFormat="1" applyFont="1" applyFill="1" applyBorder="1" applyAlignment="1">
      <alignment horizontal="right"/>
    </xf>
    <xf numFmtId="177" fontId="44" fillId="15" borderId="71" xfId="13" applyNumberFormat="1" applyFont="1" applyFill="1" applyBorder="1"/>
    <xf numFmtId="177" fontId="45" fillId="18" borderId="71" xfId="13" applyNumberFormat="1" applyFont="1" applyFill="1" applyBorder="1"/>
    <xf numFmtId="0" fontId="44" fillId="15" borderId="23" xfId="13" applyFont="1" applyFill="1" applyBorder="1"/>
    <xf numFmtId="0" fontId="45" fillId="16" borderId="72" xfId="13" applyFont="1" applyFill="1" applyBorder="1" applyAlignment="1">
      <alignment horizontal="right"/>
    </xf>
    <xf numFmtId="0" fontId="45" fillId="14" borderId="72" xfId="13" applyFont="1" applyFill="1" applyBorder="1" applyAlignment="1">
      <alignment horizontal="right"/>
    </xf>
    <xf numFmtId="0" fontId="44" fillId="15" borderId="72" xfId="13" applyFont="1" applyFill="1" applyBorder="1"/>
    <xf numFmtId="0" fontId="44" fillId="13" borderId="72" xfId="13" applyFont="1" applyFill="1" applyBorder="1"/>
    <xf numFmtId="0" fontId="44" fillId="15" borderId="72" xfId="13" applyFont="1" applyFill="1" applyBorder="1" applyAlignment="1">
      <alignment horizontal="left"/>
    </xf>
    <xf numFmtId="0" fontId="45" fillId="13" borderId="72" xfId="13" applyFont="1" applyFill="1" applyBorder="1" applyAlignment="1">
      <alignment horizontal="right"/>
    </xf>
    <xf numFmtId="0" fontId="44" fillId="13" borderId="72" xfId="13" applyFont="1" applyFill="1" applyBorder="1" applyAlignment="1">
      <alignment horizontal="left" vertical="top"/>
    </xf>
    <xf numFmtId="0" fontId="44" fillId="13" borderId="72" xfId="13" applyFont="1" applyFill="1" applyBorder="1" applyAlignment="1">
      <alignment horizontal="left"/>
    </xf>
    <xf numFmtId="0" fontId="45" fillId="16" borderId="0" xfId="13" applyFont="1" applyFill="1" applyAlignment="1">
      <alignment horizontal="center"/>
    </xf>
    <xf numFmtId="0" fontId="44" fillId="18" borderId="0" xfId="13" applyFont="1" applyFill="1"/>
    <xf numFmtId="0" fontId="44" fillId="16" borderId="0" xfId="13" applyFont="1" applyFill="1"/>
    <xf numFmtId="37" fontId="44" fillId="18" borderId="0" xfId="13" applyNumberFormat="1" applyFont="1" applyFill="1"/>
    <xf numFmtId="5" fontId="45" fillId="17" borderId="0" xfId="13" applyNumberFormat="1" applyFont="1" applyFill="1"/>
    <xf numFmtId="5" fontId="45" fillId="18" borderId="0" xfId="13" applyNumberFormat="1" applyFont="1" applyFill="1"/>
    <xf numFmtId="0" fontId="45" fillId="16" borderId="0" xfId="13" applyFont="1" applyFill="1"/>
    <xf numFmtId="0" fontId="45" fillId="17" borderId="0" xfId="13" applyFont="1" applyFill="1"/>
    <xf numFmtId="5" fontId="44" fillId="18" borderId="0" xfId="13" applyNumberFormat="1" applyFont="1" applyFill="1" applyAlignment="1">
      <alignment horizontal="right"/>
    </xf>
    <xf numFmtId="37" fontId="44" fillId="18" borderId="0" xfId="13" applyNumberFormat="1" applyFont="1" applyFill="1" applyAlignment="1">
      <alignment horizontal="right"/>
    </xf>
    <xf numFmtId="5" fontId="44" fillId="17" borderId="0" xfId="13" applyNumberFormat="1" applyFont="1" applyFill="1" applyAlignment="1">
      <alignment horizontal="right"/>
    </xf>
    <xf numFmtId="177" fontId="44" fillId="18" borderId="0" xfId="13" applyNumberFormat="1" applyFont="1" applyFill="1"/>
    <xf numFmtId="0" fontId="44" fillId="17" borderId="0" xfId="13" applyFont="1" applyFill="1"/>
    <xf numFmtId="177" fontId="44" fillId="17" borderId="0" xfId="13" applyNumberFormat="1" applyFont="1" applyFill="1"/>
    <xf numFmtId="177" fontId="45" fillId="18" borderId="0" xfId="13" applyNumberFormat="1" applyFont="1" applyFill="1"/>
    <xf numFmtId="0" fontId="44" fillId="17" borderId="71" xfId="13" applyFont="1" applyFill="1" applyBorder="1" applyAlignment="1">
      <alignment horizontal="right"/>
    </xf>
    <xf numFmtId="0" fontId="45" fillId="16" borderId="13" xfId="13" applyFont="1" applyFill="1" applyBorder="1"/>
    <xf numFmtId="165" fontId="0" fillId="3" borderId="14" xfId="3" applyNumberFormat="1" applyFont="1" applyFill="1" applyBorder="1"/>
    <xf numFmtId="165" fontId="0" fillId="13" borderId="83" xfId="3" applyNumberFormat="1" applyFont="1" applyFill="1" applyBorder="1"/>
    <xf numFmtId="165" fontId="0" fillId="13" borderId="13" xfId="3" applyNumberFormat="1" applyFont="1" applyFill="1" applyBorder="1"/>
    <xf numFmtId="0" fontId="45" fillId="16" borderId="71" xfId="13" applyFont="1" applyFill="1" applyBorder="1" applyAlignment="1">
      <alignment horizontal="left"/>
    </xf>
    <xf numFmtId="0" fontId="44" fillId="18" borderId="71" xfId="13" applyFont="1" applyFill="1" applyBorder="1" applyAlignment="1">
      <alignment horizontal="left"/>
    </xf>
    <xf numFmtId="0" fontId="45" fillId="18" borderId="71" xfId="13" applyFont="1" applyFill="1" applyBorder="1" applyAlignment="1">
      <alignment horizontal="right"/>
    </xf>
    <xf numFmtId="177" fontId="45" fillId="18" borderId="72" xfId="13" applyNumberFormat="1" applyFont="1" applyFill="1" applyBorder="1"/>
    <xf numFmtId="167" fontId="18" fillId="3" borderId="27" xfId="9" applyNumberFormat="1" applyFont="1" applyFill="1" applyBorder="1"/>
    <xf numFmtId="49" fontId="0" fillId="2" borderId="0" xfId="0" applyNumberFormat="1" applyFill="1" applyAlignment="1">
      <alignment wrapText="1"/>
    </xf>
    <xf numFmtId="0" fontId="5" fillId="7" borderId="0" xfId="1" applyFont="1" applyFill="1" applyAlignment="1">
      <alignment horizontal="center"/>
    </xf>
    <xf numFmtId="0" fontId="0" fillId="3" borderId="0" xfId="0" applyFill="1"/>
    <xf numFmtId="164" fontId="0" fillId="19" borderId="0" xfId="3" applyNumberFormat="1" applyFont="1" applyFill="1"/>
    <xf numFmtId="164" fontId="5" fillId="19" borderId="0" xfId="3" applyNumberFormat="1" applyFont="1" applyFill="1"/>
    <xf numFmtId="0" fontId="5" fillId="19" borderId="0" xfId="0" applyFont="1" applyFill="1" applyAlignment="1">
      <alignment horizontal="center" wrapText="1"/>
    </xf>
    <xf numFmtId="0" fontId="24" fillId="19" borderId="3" xfId="0" applyFont="1" applyFill="1" applyBorder="1" applyAlignment="1">
      <alignment horizontal="center"/>
    </xf>
    <xf numFmtId="164" fontId="26" fillId="19" borderId="5" xfId="3" applyNumberFormat="1" applyFont="1" applyFill="1" applyBorder="1"/>
    <xf numFmtId="164" fontId="24" fillId="19" borderId="5" xfId="3" applyNumberFormat="1" applyFont="1" applyFill="1" applyBorder="1"/>
    <xf numFmtId="164" fontId="24" fillId="19" borderId="8" xfId="3" applyNumberFormat="1" applyFont="1" applyFill="1" applyBorder="1"/>
    <xf numFmtId="0" fontId="5" fillId="19" borderId="2" xfId="0" applyFont="1" applyFill="1" applyBorder="1" applyAlignment="1">
      <alignment horizontal="center"/>
    </xf>
    <xf numFmtId="164" fontId="0" fillId="19" borderId="0" xfId="3" applyNumberFormat="1" applyFont="1" applyFill="1" applyBorder="1"/>
    <xf numFmtId="164" fontId="0" fillId="19" borderId="7" xfId="3" applyNumberFormat="1" applyFont="1" applyFill="1" applyBorder="1"/>
    <xf numFmtId="0" fontId="5" fillId="19" borderId="2" xfId="0" applyFont="1" applyFill="1" applyBorder="1" applyAlignment="1">
      <alignment horizontal="center" wrapText="1"/>
    </xf>
    <xf numFmtId="164" fontId="5" fillId="19" borderId="0" xfId="3" applyNumberFormat="1" applyFont="1" applyFill="1" applyBorder="1"/>
    <xf numFmtId="164" fontId="5" fillId="19" borderId="7" xfId="3" applyNumberFormat="1" applyFont="1" applyFill="1" applyBorder="1"/>
    <xf numFmtId="0" fontId="5" fillId="19" borderId="1" xfId="0" applyFont="1" applyFill="1" applyBorder="1" applyAlignment="1">
      <alignment horizontal="center"/>
    </xf>
    <xf numFmtId="164" fontId="5" fillId="19" borderId="4" xfId="3" applyNumberFormat="1" applyFont="1" applyFill="1" applyBorder="1"/>
    <xf numFmtId="164" fontId="0" fillId="19" borderId="4" xfId="3" applyNumberFormat="1" applyFont="1" applyFill="1" applyBorder="1"/>
    <xf numFmtId="164" fontId="5" fillId="19" borderId="6" xfId="3" applyNumberFormat="1" applyFont="1" applyFill="1" applyBorder="1"/>
    <xf numFmtId="0" fontId="5" fillId="19" borderId="0" xfId="0" applyFont="1" applyFill="1" applyAlignment="1">
      <alignment horizontal="center"/>
    </xf>
    <xf numFmtId="164" fontId="4" fillId="19" borderId="0" xfId="3" applyNumberFormat="1" applyFont="1" applyFill="1"/>
    <xf numFmtId="0" fontId="23" fillId="19" borderId="0" xfId="0" applyFont="1" applyFill="1" applyAlignment="1">
      <alignment horizontal="center"/>
    </xf>
    <xf numFmtId="0" fontId="25" fillId="19" borderId="0" xfId="0" applyFont="1" applyFill="1" applyAlignment="1">
      <alignment horizontal="center"/>
    </xf>
    <xf numFmtId="0" fontId="4" fillId="19" borderId="0" xfId="0" applyFont="1" applyFill="1" applyAlignment="1">
      <alignment horizontal="left" indent="1"/>
    </xf>
    <xf numFmtId="0" fontId="0" fillId="19" borderId="0" xfId="0" applyFill="1" applyAlignment="1">
      <alignment horizontal="left" indent="1"/>
    </xf>
    <xf numFmtId="0" fontId="5" fillId="19" borderId="0" xfId="0" applyFont="1" applyFill="1"/>
    <xf numFmtId="0" fontId="0" fillId="19" borderId="0" xfId="0" applyFill="1"/>
    <xf numFmtId="164" fontId="0" fillId="3" borderId="14" xfId="3" applyNumberFormat="1" applyFont="1" applyFill="1" applyBorder="1" applyProtection="1">
      <protection locked="0"/>
    </xf>
    <xf numFmtId="164" fontId="4" fillId="3" borderId="14" xfId="3" applyNumberFormat="1" applyFont="1" applyFill="1" applyBorder="1" applyProtection="1">
      <protection locked="0"/>
    </xf>
    <xf numFmtId="164" fontId="11" fillId="3" borderId="14" xfId="3" applyNumberFormat="1" applyFont="1" applyFill="1" applyBorder="1" applyProtection="1">
      <protection locked="0"/>
    </xf>
    <xf numFmtId="164" fontId="0" fillId="3" borderId="83" xfId="3" applyNumberFormat="1" applyFont="1" applyFill="1" applyBorder="1" applyProtection="1">
      <protection locked="0"/>
    </xf>
    <xf numFmtId="0" fontId="44" fillId="13" borderId="93" xfId="13" applyFont="1" applyFill="1" applyBorder="1" applyAlignment="1">
      <alignment horizontal="left"/>
    </xf>
    <xf numFmtId="0" fontId="46" fillId="15" borderId="93" xfId="13" applyFont="1" applyFill="1" applyBorder="1" applyAlignment="1">
      <alignment horizontal="left"/>
    </xf>
    <xf numFmtId="0" fontId="44" fillId="13" borderId="93" xfId="13" applyFont="1" applyFill="1" applyBorder="1"/>
    <xf numFmtId="37" fontId="44" fillId="15" borderId="100" xfId="13" applyNumberFormat="1" applyFont="1" applyFill="1" applyBorder="1"/>
    <xf numFmtId="37" fontId="44" fillId="15" borderId="101" xfId="13" applyNumberFormat="1" applyFont="1" applyFill="1" applyBorder="1"/>
    <xf numFmtId="0" fontId="44" fillId="15" borderId="102" xfId="13" applyFont="1" applyFill="1" applyBorder="1"/>
    <xf numFmtId="0" fontId="44" fillId="0" borderId="93" xfId="13" applyFont="1" applyBorder="1"/>
    <xf numFmtId="0" fontId="49" fillId="19" borderId="0" xfId="0" applyFont="1" applyFill="1" applyAlignment="1">
      <alignment horizontal="center"/>
    </xf>
    <xf numFmtId="164" fontId="0" fillId="2" borderId="14" xfId="3" applyNumberFormat="1" applyFont="1" applyFill="1" applyBorder="1" applyProtection="1"/>
    <xf numFmtId="0" fontId="50" fillId="19" borderId="0" xfId="0" applyFont="1" applyFill="1" applyAlignment="1">
      <alignment horizontal="center"/>
    </xf>
    <xf numFmtId="0" fontId="0" fillId="2" borderId="0" xfId="0" applyFill="1" applyAlignment="1">
      <alignment horizontal="center" vertical="top" wrapText="1"/>
    </xf>
    <xf numFmtId="0" fontId="0" fillId="2" borderId="0" xfId="0" applyFill="1" applyAlignment="1">
      <alignment horizontal="center" vertical="center" wrapText="1"/>
    </xf>
    <xf numFmtId="164" fontId="19" fillId="2" borderId="14" xfId="3" applyNumberFormat="1" applyFont="1" applyFill="1" applyBorder="1"/>
    <xf numFmtId="164" fontId="19" fillId="2" borderId="14" xfId="5" applyNumberFormat="1" applyFont="1" applyFill="1" applyBorder="1"/>
    <xf numFmtId="167" fontId="19" fillId="3" borderId="14" xfId="3" applyNumberFormat="1" applyFont="1" applyFill="1" applyBorder="1"/>
    <xf numFmtId="167" fontId="19" fillId="2" borderId="14" xfId="5" applyNumberFormat="1" applyFont="1" applyFill="1" applyBorder="1"/>
    <xf numFmtId="0" fontId="11" fillId="2" borderId="0" xfId="0" applyFont="1" applyFill="1"/>
    <xf numFmtId="0" fontId="45" fillId="10" borderId="106" xfId="13" applyFont="1" applyFill="1" applyBorder="1" applyAlignment="1">
      <alignment horizontal="center"/>
    </xf>
    <xf numFmtId="0" fontId="45" fillId="18" borderId="105" xfId="13" applyFont="1" applyFill="1" applyBorder="1" applyAlignment="1">
      <alignment horizontal="center"/>
    </xf>
    <xf numFmtId="164" fontId="0" fillId="19" borderId="0" xfId="3" applyNumberFormat="1" applyFont="1" applyFill="1" applyAlignment="1">
      <alignment wrapText="1"/>
    </xf>
    <xf numFmtId="4" fontId="4" fillId="8" borderId="93" xfId="0" applyNumberFormat="1" applyFont="1" applyFill="1" applyBorder="1"/>
    <xf numFmtId="164" fontId="11" fillId="3" borderId="14" xfId="3" applyNumberFormat="1" applyFont="1" applyFill="1" applyBorder="1"/>
    <xf numFmtId="37" fontId="55" fillId="15" borderId="22" xfId="13" applyNumberFormat="1" applyFont="1" applyFill="1" applyBorder="1"/>
    <xf numFmtId="37" fontId="54" fillId="15" borderId="71" xfId="13" applyNumberFormat="1" applyFont="1" applyFill="1" applyBorder="1"/>
    <xf numFmtId="0" fontId="48" fillId="2" borderId="0" xfId="0" applyFont="1" applyFill="1"/>
    <xf numFmtId="0" fontId="48" fillId="2" borderId="31" xfId="0" applyFont="1" applyFill="1" applyBorder="1" applyAlignment="1">
      <alignment horizontal="center"/>
    </xf>
    <xf numFmtId="164" fontId="52" fillId="3" borderId="14" xfId="3" applyNumberFormat="1" applyFont="1" applyFill="1" applyBorder="1" applyProtection="1">
      <protection locked="0"/>
    </xf>
    <xf numFmtId="164" fontId="52" fillId="2" borderId="14" xfId="3" applyNumberFormat="1" applyFont="1" applyFill="1" applyBorder="1" applyProtection="1"/>
    <xf numFmtId="37" fontId="56" fillId="15" borderId="22" xfId="13" applyNumberFormat="1" applyFont="1" applyFill="1" applyBorder="1"/>
    <xf numFmtId="164" fontId="52" fillId="13" borderId="14" xfId="3" applyNumberFormat="1" applyFont="1" applyFill="1" applyBorder="1" applyProtection="1">
      <protection locked="0"/>
    </xf>
    <xf numFmtId="164" fontId="52" fillId="4" borderId="14" xfId="3" applyNumberFormat="1" applyFont="1" applyFill="1" applyBorder="1" applyProtection="1"/>
    <xf numFmtId="164" fontId="52" fillId="3" borderId="14" xfId="3" applyNumberFormat="1" applyFont="1" applyFill="1" applyBorder="1"/>
    <xf numFmtId="165" fontId="52" fillId="3" borderId="14" xfId="3" applyNumberFormat="1" applyFont="1" applyFill="1" applyBorder="1"/>
    <xf numFmtId="177" fontId="44" fillId="15" borderId="69" xfId="13" applyNumberFormat="1" applyFont="1" applyFill="1" applyBorder="1"/>
    <xf numFmtId="177" fontId="44" fillId="15" borderId="70" xfId="13" applyNumberFormat="1" applyFont="1" applyFill="1" applyBorder="1"/>
    <xf numFmtId="0" fontId="4" fillId="2" borderId="42" xfId="1" applyFill="1" applyBorder="1" applyAlignment="1">
      <alignment horizontal="left" vertical="top" wrapText="1"/>
    </xf>
    <xf numFmtId="0" fontId="4" fillId="2" borderId="0" xfId="1" applyFill="1" applyAlignment="1">
      <alignment horizontal="left" vertical="top" wrapText="1"/>
    </xf>
    <xf numFmtId="170" fontId="19" fillId="2" borderId="14" xfId="3" applyNumberFormat="1" applyFont="1" applyFill="1" applyBorder="1"/>
    <xf numFmtId="170" fontId="19" fillId="3" borderId="14" xfId="3" applyNumberFormat="1" applyFont="1" applyFill="1" applyBorder="1"/>
    <xf numFmtId="170" fontId="19" fillId="4" borderId="14" xfId="3" applyNumberFormat="1" applyFont="1" applyFill="1" applyBorder="1"/>
    <xf numFmtId="164" fontId="45" fillId="15" borderId="22" xfId="13" applyNumberFormat="1" applyFont="1" applyFill="1" applyBorder="1" applyAlignment="1">
      <alignment horizontal="left" indent="2"/>
    </xf>
    <xf numFmtId="164" fontId="18" fillId="3" borderId="14" xfId="3" applyNumberFormat="1" applyFont="1" applyFill="1" applyBorder="1"/>
    <xf numFmtId="37" fontId="7" fillId="2" borderId="0" xfId="1" applyNumberFormat="1" applyFont="1" applyFill="1"/>
    <xf numFmtId="164" fontId="52" fillId="3" borderId="14" xfId="3" applyNumberFormat="1" applyFont="1" applyFill="1" applyBorder="1" applyAlignment="1" applyProtection="1">
      <alignment horizontal="left"/>
      <protection locked="0"/>
    </xf>
    <xf numFmtId="43" fontId="4" fillId="0" borderId="0" xfId="1" applyNumberFormat="1"/>
    <xf numFmtId="178" fontId="4" fillId="0" borderId="0" xfId="1" applyNumberFormat="1"/>
    <xf numFmtId="164" fontId="52" fillId="19" borderId="0" xfId="3" applyNumberFormat="1" applyFont="1" applyFill="1"/>
    <xf numFmtId="164" fontId="52" fillId="19" borderId="4" xfId="3" applyNumberFormat="1" applyFont="1" applyFill="1" applyBorder="1"/>
    <xf numFmtId="164" fontId="52" fillId="19" borderId="0" xfId="3" applyNumberFormat="1" applyFont="1" applyFill="1" applyBorder="1"/>
    <xf numFmtId="170" fontId="18" fillId="2" borderId="0" xfId="7" applyNumberFormat="1" applyFont="1" applyFill="1"/>
    <xf numFmtId="0" fontId="44" fillId="15" borderId="108" xfId="13" applyFont="1" applyFill="1" applyBorder="1" applyAlignment="1">
      <alignment wrapText="1"/>
    </xf>
    <xf numFmtId="0" fontId="53" fillId="2" borderId="0" xfId="14" applyFill="1"/>
    <xf numFmtId="0" fontId="44" fillId="13" borderId="102" xfId="13" applyFont="1" applyFill="1" applyBorder="1" applyAlignment="1">
      <alignment horizontal="left"/>
    </xf>
    <xf numFmtId="0" fontId="44" fillId="15" borderId="102" xfId="13" applyFont="1" applyFill="1" applyBorder="1" applyAlignment="1">
      <alignment wrapText="1"/>
    </xf>
    <xf numFmtId="0" fontId="44" fillId="15" borderId="102" xfId="13" applyFont="1" applyFill="1" applyBorder="1" applyAlignment="1">
      <alignment horizontal="left"/>
    </xf>
    <xf numFmtId="0" fontId="44" fillId="13" borderId="102" xfId="13" applyFont="1" applyFill="1" applyBorder="1"/>
    <xf numFmtId="0" fontId="44" fillId="13" borderId="72" xfId="13" applyFont="1" applyFill="1" applyBorder="1" applyAlignment="1">
      <alignment horizontal="justify"/>
    </xf>
    <xf numFmtId="37" fontId="44" fillId="15" borderId="0" xfId="13" applyNumberFormat="1" applyFont="1" applyFill="1"/>
    <xf numFmtId="0" fontId="44" fillId="15" borderId="72" xfId="13" applyFont="1" applyFill="1" applyBorder="1" applyAlignment="1">
      <alignment horizontal="justify"/>
    </xf>
    <xf numFmtId="170" fontId="0" fillId="3" borderId="0" xfId="0" applyNumberFormat="1" applyFill="1"/>
    <xf numFmtId="164" fontId="0" fillId="0" borderId="14" xfId="3" applyNumberFormat="1" applyFont="1" applyFill="1" applyBorder="1" applyProtection="1"/>
    <xf numFmtId="164" fontId="0" fillId="2" borderId="14" xfId="3" applyNumberFormat="1" applyFont="1" applyFill="1" applyBorder="1" applyProtection="1">
      <protection locked="0"/>
    </xf>
    <xf numFmtId="164" fontId="0" fillId="0" borderId="45" xfId="3" applyNumberFormat="1" applyFont="1" applyFill="1" applyBorder="1"/>
    <xf numFmtId="43" fontId="52" fillId="0" borderId="14" xfId="3" applyFont="1" applyFill="1" applyBorder="1" applyProtection="1">
      <protection locked="0"/>
    </xf>
    <xf numFmtId="164" fontId="0" fillId="0" borderId="14" xfId="3" applyNumberFormat="1" applyFont="1" applyFill="1" applyBorder="1" applyProtection="1">
      <protection locked="0"/>
    </xf>
    <xf numFmtId="164" fontId="52" fillId="0" borderId="14" xfId="3" applyNumberFormat="1" applyFont="1" applyFill="1" applyBorder="1" applyProtection="1">
      <protection locked="0"/>
    </xf>
    <xf numFmtId="44" fontId="5" fillId="2" borderId="0" xfId="5" applyFont="1" applyFill="1"/>
    <xf numFmtId="0" fontId="5" fillId="2" borderId="0" xfId="1" applyFont="1" applyFill="1"/>
    <xf numFmtId="44" fontId="5" fillId="2" borderId="0" xfId="5" applyFont="1" applyFill="1" applyProtection="1"/>
    <xf numFmtId="0" fontId="59" fillId="0" borderId="0" xfId="1" applyFont="1"/>
    <xf numFmtId="0" fontId="59" fillId="0" borderId="0" xfId="1" applyFont="1" applyAlignment="1">
      <alignment horizontal="center" vertical="center" wrapText="1"/>
    </xf>
    <xf numFmtId="0" fontId="4" fillId="0" borderId="0" xfId="1" applyAlignment="1">
      <alignment horizontal="center" vertical="center" wrapText="1"/>
    </xf>
    <xf numFmtId="0" fontId="4" fillId="21" borderId="0" xfId="1" applyFill="1"/>
    <xf numFmtId="0" fontId="62" fillId="0" borderId="0" xfId="1" applyFont="1"/>
    <xf numFmtId="0" fontId="63" fillId="0" borderId="0" xfId="1" applyFont="1" applyAlignment="1">
      <alignment horizontal="right" indent="1"/>
    </xf>
    <xf numFmtId="10" fontId="14" fillId="20" borderId="0" xfId="1" applyNumberFormat="1" applyFont="1" applyFill="1" applyProtection="1">
      <protection locked="0"/>
    </xf>
    <xf numFmtId="0" fontId="63" fillId="0" borderId="62" xfId="1" applyFont="1" applyBorder="1" applyAlignment="1">
      <alignment horizontal="right" indent="1"/>
    </xf>
    <xf numFmtId="10" fontId="14" fillId="20" borderId="62" xfId="1" applyNumberFormat="1" applyFont="1" applyFill="1" applyBorder="1" applyProtection="1">
      <protection locked="0"/>
    </xf>
    <xf numFmtId="0" fontId="63" fillId="0" borderId="0" xfId="1" applyFont="1" applyAlignment="1">
      <alignment horizontal="right"/>
    </xf>
    <xf numFmtId="10" fontId="14" fillId="0" borderId="0" xfId="1" applyNumberFormat="1" applyFont="1"/>
    <xf numFmtId="10" fontId="59" fillId="0" borderId="0" xfId="1" applyNumberFormat="1" applyFont="1"/>
    <xf numFmtId="0" fontId="59" fillId="0" borderId="0" xfId="1" applyFont="1" applyAlignment="1">
      <alignment horizontal="right" indent="1"/>
    </xf>
    <xf numFmtId="0" fontId="64" fillId="0" borderId="0" xfId="1" applyFont="1"/>
    <xf numFmtId="49" fontId="65" fillId="0" borderId="0" xfId="1" applyNumberFormat="1" applyFont="1" applyAlignment="1">
      <alignment horizontal="center" vertical="top"/>
    </xf>
    <xf numFmtId="0" fontId="65" fillId="0" borderId="0" xfId="1" applyFont="1" applyAlignment="1">
      <alignment horizontal="center" vertical="top"/>
    </xf>
    <xf numFmtId="0" fontId="16" fillId="0" borderId="0" xfId="1" applyFont="1" applyAlignment="1">
      <alignment horizontal="right" indent="1"/>
    </xf>
    <xf numFmtId="0" fontId="59" fillId="0" borderId="0" xfId="1" applyFont="1" applyAlignment="1">
      <alignment horizontal="left"/>
    </xf>
    <xf numFmtId="41" fontId="59" fillId="20" borderId="22" xfId="1" applyNumberFormat="1" applyFont="1" applyFill="1" applyBorder="1" applyProtection="1">
      <protection locked="0"/>
    </xf>
    <xf numFmtId="41" fontId="59" fillId="0" borderId="0" xfId="1" applyNumberFormat="1" applyFont="1"/>
    <xf numFmtId="41" fontId="59" fillId="0" borderId="22" xfId="1" applyNumberFormat="1" applyFont="1" applyBorder="1"/>
    <xf numFmtId="41" fontId="59" fillId="20" borderId="71" xfId="1" applyNumberFormat="1" applyFont="1" applyFill="1" applyBorder="1" applyProtection="1">
      <protection locked="0"/>
    </xf>
    <xf numFmtId="41" fontId="58" fillId="0" borderId="0" xfId="1" applyNumberFormat="1" applyFont="1"/>
    <xf numFmtId="0" fontId="58" fillId="0" borderId="0" xfId="1" applyFont="1" applyAlignment="1">
      <alignment horizontal="right"/>
    </xf>
    <xf numFmtId="3" fontId="59" fillId="0" borderId="0" xfId="1" applyNumberFormat="1" applyFont="1"/>
    <xf numFmtId="0" fontId="66" fillId="0" borderId="0" xfId="1" applyFont="1" applyAlignment="1">
      <alignment horizontal="center" vertical="center" textRotation="90" wrapText="1"/>
    </xf>
    <xf numFmtId="0" fontId="59" fillId="0" borderId="0" xfId="1" applyFont="1" applyAlignment="1">
      <alignment horizontal="right"/>
    </xf>
    <xf numFmtId="41" fontId="15" fillId="0" borderId="0" xfId="1" applyNumberFormat="1" applyFont="1" applyAlignment="1">
      <alignment horizontal="center"/>
    </xf>
    <xf numFmtId="0" fontId="69" fillId="0" borderId="0" xfId="21" applyFont="1" applyAlignment="1">
      <alignment horizontal="centerContinuous"/>
    </xf>
    <xf numFmtId="0" fontId="68" fillId="0" borderId="0" xfId="21" applyAlignment="1">
      <alignment horizontal="centerContinuous"/>
    </xf>
    <xf numFmtId="0" fontId="68" fillId="0" borderId="0" xfId="21"/>
    <xf numFmtId="0" fontId="70" fillId="0" borderId="0" xfId="21" applyFont="1"/>
    <xf numFmtId="0" fontId="71" fillId="0" borderId="0" xfId="21" applyFont="1"/>
    <xf numFmtId="0" fontId="72" fillId="0" borderId="0" xfId="21" applyFont="1"/>
    <xf numFmtId="0" fontId="72" fillId="0" borderId="0" xfId="21" applyFont="1" applyAlignment="1">
      <alignment horizontal="center" wrapText="1"/>
    </xf>
    <xf numFmtId="0" fontId="68" fillId="0" borderId="0" xfId="21" applyAlignment="1">
      <alignment horizontal="center" wrapText="1"/>
    </xf>
    <xf numFmtId="0" fontId="73" fillId="0" borderId="13" xfId="21" applyFont="1" applyBorder="1"/>
    <xf numFmtId="0" fontId="68" fillId="0" borderId="13" xfId="21" applyBorder="1"/>
    <xf numFmtId="165" fontId="74" fillId="0" borderId="13" xfId="22" applyNumberFormat="1" applyFont="1" applyFill="1" applyBorder="1"/>
    <xf numFmtId="165" fontId="68" fillId="0" borderId="0" xfId="22" applyNumberFormat="1" applyFont="1" applyBorder="1"/>
    <xf numFmtId="0" fontId="72" fillId="0" borderId="13" xfId="21" applyFont="1" applyBorder="1"/>
    <xf numFmtId="165" fontId="75" fillId="0" borderId="13" xfId="22" applyNumberFormat="1" applyFont="1" applyFill="1" applyBorder="1"/>
    <xf numFmtId="165" fontId="76" fillId="0" borderId="13" xfId="22" applyNumberFormat="1" applyFont="1" applyFill="1" applyBorder="1"/>
    <xf numFmtId="165" fontId="52" fillId="0" borderId="0" xfId="22" applyNumberFormat="1" applyFont="1" applyBorder="1"/>
    <xf numFmtId="165" fontId="0" fillId="0" borderId="0" xfId="22" applyNumberFormat="1" applyFont="1" applyBorder="1"/>
    <xf numFmtId="165" fontId="72" fillId="0" borderId="0" xfId="22" applyNumberFormat="1" applyFont="1" applyBorder="1"/>
    <xf numFmtId="0" fontId="77" fillId="0" borderId="13" xfId="21" applyFont="1" applyBorder="1"/>
    <xf numFmtId="165" fontId="75" fillId="21" borderId="13" xfId="22" applyNumberFormat="1" applyFont="1" applyFill="1" applyBorder="1"/>
    <xf numFmtId="165" fontId="68" fillId="21" borderId="0" xfId="22" applyNumberFormat="1" applyFont="1" applyFill="1" applyBorder="1"/>
    <xf numFmtId="165" fontId="78" fillId="0" borderId="13" xfId="22" applyNumberFormat="1" applyFont="1" applyFill="1" applyBorder="1"/>
    <xf numFmtId="165" fontId="79" fillId="0" borderId="13" xfId="22" applyNumberFormat="1" applyFont="1" applyFill="1" applyBorder="1" applyAlignment="1">
      <alignment horizontal="center"/>
    </xf>
    <xf numFmtId="165" fontId="11" fillId="0" borderId="13" xfId="22" applyNumberFormat="1" applyFont="1" applyFill="1" applyBorder="1"/>
    <xf numFmtId="9" fontId="11" fillId="0" borderId="13" xfId="20" applyFont="1" applyFill="1" applyBorder="1"/>
    <xf numFmtId="167" fontId="0" fillId="0" borderId="0" xfId="23" applyNumberFormat="1" applyFont="1" applyFill="1" applyBorder="1"/>
    <xf numFmtId="164" fontId="74" fillId="0" borderId="13" xfId="22" applyNumberFormat="1" applyFont="1" applyFill="1" applyBorder="1"/>
    <xf numFmtId="165" fontId="68" fillId="0" borderId="0" xfId="22" applyNumberFormat="1" applyFont="1" applyFill="1" applyBorder="1"/>
    <xf numFmtId="164" fontId="75" fillId="0" borderId="13" xfId="22" applyNumberFormat="1" applyFont="1" applyFill="1" applyBorder="1"/>
    <xf numFmtId="167" fontId="68" fillId="0" borderId="0" xfId="21" applyNumberFormat="1"/>
    <xf numFmtId="164" fontId="0" fillId="0" borderId="0" xfId="22" applyNumberFormat="1" applyFont="1"/>
    <xf numFmtId="9" fontId="11" fillId="0" borderId="0" xfId="20" applyFont="1" applyFill="1"/>
    <xf numFmtId="9" fontId="80" fillId="0" borderId="0" xfId="20" applyFont="1" applyFill="1"/>
    <xf numFmtId="164" fontId="68" fillId="0" borderId="0" xfId="21" applyNumberFormat="1"/>
    <xf numFmtId="0" fontId="77" fillId="23" borderId="13" xfId="21" applyFont="1" applyFill="1" applyBorder="1"/>
    <xf numFmtId="165" fontId="74" fillId="23" borderId="13" xfId="22" applyNumberFormat="1" applyFont="1" applyFill="1" applyBorder="1"/>
    <xf numFmtId="0" fontId="68" fillId="21" borderId="0" xfId="21" applyFill="1"/>
    <xf numFmtId="165" fontId="79" fillId="0" borderId="13" xfId="22" applyNumberFormat="1" applyFont="1" applyFill="1" applyBorder="1"/>
    <xf numFmtId="165" fontId="81" fillId="0" borderId="13" xfId="22" applyNumberFormat="1" applyFont="1" applyFill="1" applyBorder="1"/>
    <xf numFmtId="0" fontId="77" fillId="0" borderId="0" xfId="21" applyFont="1"/>
    <xf numFmtId="0" fontId="0" fillId="24" borderId="33" xfId="0" applyFill="1" applyBorder="1" applyAlignment="1">
      <alignment horizontal="center" vertical="center" wrapText="1"/>
    </xf>
    <xf numFmtId="168" fontId="0" fillId="24" borderId="33" xfId="0" applyNumberFormat="1" applyFill="1" applyBorder="1" applyAlignment="1">
      <alignment horizontal="center" vertical="center" wrapText="1"/>
    </xf>
    <xf numFmtId="165" fontId="74" fillId="25" borderId="13" xfId="22" applyNumberFormat="1" applyFont="1" applyFill="1" applyBorder="1"/>
    <xf numFmtId="165" fontId="75" fillId="25" borderId="13" xfId="22" applyNumberFormat="1" applyFont="1" applyFill="1" applyBorder="1"/>
    <xf numFmtId="167" fontId="74" fillId="25" borderId="13" xfId="23" applyNumberFormat="1" applyFont="1" applyFill="1" applyBorder="1"/>
    <xf numFmtId="164" fontId="74" fillId="25" borderId="13" xfId="22" applyNumberFormat="1" applyFont="1" applyFill="1" applyBorder="1"/>
    <xf numFmtId="164" fontId="75" fillId="25" borderId="13" xfId="22" applyNumberFormat="1" applyFont="1" applyFill="1" applyBorder="1"/>
    <xf numFmtId="167" fontId="75" fillId="25" borderId="13" xfId="23" applyNumberFormat="1" applyFont="1" applyFill="1" applyBorder="1"/>
    <xf numFmtId="0" fontId="82" fillId="0" borderId="0" xfId="21" applyFont="1"/>
    <xf numFmtId="165" fontId="78" fillId="0" borderId="0" xfId="22" applyNumberFormat="1" applyFont="1" applyFill="1" applyBorder="1"/>
    <xf numFmtId="164" fontId="52" fillId="26" borderId="14" xfId="3" applyNumberFormat="1" applyFont="1" applyFill="1" applyBorder="1" applyProtection="1">
      <protection locked="0"/>
    </xf>
    <xf numFmtId="44" fontId="19" fillId="2" borderId="14" xfId="3" applyNumberFormat="1" applyFont="1" applyFill="1" applyBorder="1"/>
    <xf numFmtId="0" fontId="0" fillId="2" borderId="41" xfId="0" applyFill="1" applyBorder="1" applyAlignment="1">
      <alignment wrapText="1"/>
    </xf>
    <xf numFmtId="0" fontId="0" fillId="0" borderId="0" xfId="0" applyAlignment="1">
      <alignment wrapText="1"/>
    </xf>
    <xf numFmtId="0" fontId="0" fillId="0" borderId="41" xfId="0" applyBorder="1" applyAlignment="1">
      <alignment wrapText="1"/>
    </xf>
    <xf numFmtId="0" fontId="51" fillId="2" borderId="0" xfId="0" applyFont="1" applyFill="1" applyAlignment="1">
      <alignment horizontal="center" vertical="top" wrapText="1"/>
    </xf>
    <xf numFmtId="0" fontId="51" fillId="0" borderId="0" xfId="0" applyFont="1" applyAlignment="1">
      <alignment horizontal="center" vertical="top" wrapText="1"/>
    </xf>
    <xf numFmtId="0" fontId="53" fillId="2" borderId="41" xfId="14" applyFill="1" applyBorder="1" applyAlignment="1">
      <alignment wrapText="1"/>
    </xf>
    <xf numFmtId="0" fontId="45" fillId="11" borderId="88" xfId="13" applyFont="1" applyFill="1" applyBorder="1" applyAlignment="1">
      <alignment horizontal="center"/>
    </xf>
    <xf numFmtId="0" fontId="45" fillId="11" borderId="89" xfId="13" applyFont="1" applyFill="1" applyBorder="1" applyAlignment="1">
      <alignment horizontal="center"/>
    </xf>
    <xf numFmtId="0" fontId="45" fillId="11" borderId="90" xfId="13" applyFont="1" applyFill="1" applyBorder="1" applyAlignment="1">
      <alignment horizontal="center"/>
    </xf>
    <xf numFmtId="0" fontId="45" fillId="11" borderId="82" xfId="13" applyFont="1" applyFill="1" applyBorder="1" applyAlignment="1">
      <alignment horizontal="center"/>
    </xf>
    <xf numFmtId="0" fontId="45" fillId="11" borderId="91" xfId="13" applyFont="1" applyFill="1" applyBorder="1" applyAlignment="1">
      <alignment horizontal="center"/>
    </xf>
    <xf numFmtId="0" fontId="45" fillId="11" borderId="92" xfId="13" applyFont="1" applyFill="1" applyBorder="1" applyAlignment="1">
      <alignment horizontal="center"/>
    </xf>
    <xf numFmtId="0" fontId="45" fillId="11" borderId="107" xfId="13" applyFont="1" applyFill="1" applyBorder="1" applyAlignment="1">
      <alignment horizontal="center"/>
    </xf>
    <xf numFmtId="0" fontId="45" fillId="11" borderId="87" xfId="13" applyFont="1" applyFill="1" applyBorder="1" applyAlignment="1">
      <alignment horizontal="center"/>
    </xf>
    <xf numFmtId="0" fontId="45" fillId="14" borderId="71" xfId="13" applyFont="1" applyFill="1" applyBorder="1" applyAlignment="1">
      <alignment horizontal="left"/>
    </xf>
    <xf numFmtId="0" fontId="45" fillId="14" borderId="13" xfId="13" applyFont="1" applyFill="1" applyBorder="1" applyAlignment="1">
      <alignment horizontal="left"/>
    </xf>
    <xf numFmtId="0" fontId="45" fillId="14" borderId="72" xfId="13" applyFont="1" applyFill="1" applyBorder="1" applyAlignment="1">
      <alignment horizontal="left"/>
    </xf>
    <xf numFmtId="0" fontId="14" fillId="8" borderId="0" xfId="0" applyFont="1" applyFill="1" applyAlignment="1">
      <alignment horizontal="center"/>
    </xf>
    <xf numFmtId="0" fontId="0" fillId="0" borderId="0" xfId="0" applyAlignment="1">
      <alignment horizontal="center"/>
    </xf>
    <xf numFmtId="0" fontId="5" fillId="8" borderId="0" xfId="0" applyFont="1" applyFill="1" applyAlignment="1">
      <alignment horizontal="right"/>
    </xf>
    <xf numFmtId="0" fontId="0" fillId="0" borderId="0" xfId="0" applyAlignment="1">
      <alignment horizontal="right"/>
    </xf>
    <xf numFmtId="0" fontId="28" fillId="0" borderId="0" xfId="0" applyFont="1" applyAlignment="1">
      <alignment horizontal="right"/>
    </xf>
    <xf numFmtId="174" fontId="0" fillId="8" borderId="6" xfId="0" applyNumberFormat="1" applyFill="1" applyBorder="1" applyAlignment="1" applyProtection="1">
      <alignment horizontal="left"/>
      <protection locked="0"/>
    </xf>
    <xf numFmtId="174" fontId="0" fillId="0" borderId="7" xfId="0" applyNumberFormat="1" applyBorder="1" applyAlignment="1" applyProtection="1">
      <alignment horizontal="left"/>
      <protection locked="0"/>
    </xf>
    <xf numFmtId="0" fontId="0" fillId="0" borderId="7" xfId="0" applyBorder="1"/>
    <xf numFmtId="0" fontId="0" fillId="0" borderId="8" xfId="0" applyBorder="1"/>
    <xf numFmtId="0" fontId="0" fillId="0" borderId="7" xfId="0" applyBorder="1" applyAlignment="1">
      <alignment horizontal="left"/>
    </xf>
    <xf numFmtId="0" fontId="0" fillId="0" borderId="8" xfId="0" applyBorder="1" applyAlignment="1">
      <alignment horizontal="left"/>
    </xf>
    <xf numFmtId="0" fontId="31" fillId="9" borderId="47" xfId="0" applyFont="1" applyFill="1" applyBorder="1" applyAlignment="1">
      <alignment horizontal="center" vertical="center"/>
    </xf>
    <xf numFmtId="0" fontId="29" fillId="9" borderId="48" xfId="0" applyFont="1" applyFill="1" applyBorder="1" applyAlignment="1">
      <alignment vertical="center"/>
    </xf>
    <xf numFmtId="0" fontId="29" fillId="9" borderId="49" xfId="0" applyFont="1" applyFill="1" applyBorder="1" applyAlignment="1">
      <alignment vertical="center"/>
    </xf>
    <xf numFmtId="0" fontId="0" fillId="0" borderId="48" xfId="0" applyBorder="1"/>
    <xf numFmtId="0" fontId="0" fillId="0" borderId="49" xfId="0" applyBorder="1"/>
    <xf numFmtId="2" fontId="31" fillId="9" borderId="47" xfId="0" applyNumberFormat="1" applyFont="1" applyFill="1"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31" fillId="9" borderId="52" xfId="0" applyFont="1" applyFill="1" applyBorder="1" applyAlignment="1">
      <alignment horizontal="center" vertical="center" wrapText="1"/>
    </xf>
    <xf numFmtId="0" fontId="29" fillId="9" borderId="53" xfId="0" applyFont="1" applyFill="1" applyBorder="1" applyAlignment="1">
      <alignment vertical="center" wrapText="1"/>
    </xf>
    <xf numFmtId="0" fontId="29" fillId="9" borderId="54" xfId="0" applyFont="1" applyFill="1" applyBorder="1" applyAlignment="1">
      <alignment vertical="center" wrapText="1"/>
    </xf>
    <xf numFmtId="0" fontId="0" fillId="0" borderId="57" xfId="0" applyBorder="1" applyAlignment="1">
      <alignment vertical="center" wrapText="1"/>
    </xf>
    <xf numFmtId="0" fontId="0" fillId="0" borderId="0" xfId="0" applyAlignment="1">
      <alignment vertical="center" wrapText="1"/>
    </xf>
    <xf numFmtId="0" fontId="0" fillId="0" borderId="58" xfId="0" applyBorder="1" applyAlignment="1">
      <alignment vertical="center" wrapText="1"/>
    </xf>
    <xf numFmtId="0" fontId="0" fillId="0" borderId="61" xfId="0" applyBorder="1" applyAlignment="1">
      <alignment vertical="center" wrapText="1"/>
    </xf>
    <xf numFmtId="0" fontId="0" fillId="0" borderId="62" xfId="0" applyBorder="1" applyAlignment="1">
      <alignment vertical="center" wrapText="1"/>
    </xf>
    <xf numFmtId="0" fontId="0" fillId="0" borderId="63" xfId="0" applyBorder="1" applyAlignment="1">
      <alignment vertical="center" wrapText="1"/>
    </xf>
    <xf numFmtId="0" fontId="31" fillId="9" borderId="51" xfId="0" applyFont="1" applyFill="1" applyBorder="1" applyAlignment="1">
      <alignment horizontal="center" vertical="center" wrapText="1"/>
    </xf>
    <xf numFmtId="0" fontId="0" fillId="0" borderId="59" xfId="0" applyBorder="1" applyAlignment="1">
      <alignment horizontal="center" vertical="center" wrapText="1"/>
    </xf>
    <xf numFmtId="0" fontId="0" fillId="0" borderId="64" xfId="0" applyBorder="1" applyAlignment="1">
      <alignment horizontal="center" vertical="center" wrapText="1"/>
    </xf>
    <xf numFmtId="0" fontId="31" fillId="9" borderId="55" xfId="0" applyFont="1" applyFill="1" applyBorder="1" applyAlignment="1">
      <alignment horizontal="center" vertical="center" wrapText="1"/>
    </xf>
    <xf numFmtId="0" fontId="0" fillId="0" borderId="53" xfId="0" applyBorder="1" applyAlignment="1">
      <alignment vertical="center" wrapText="1"/>
    </xf>
    <xf numFmtId="0" fontId="0" fillId="0" borderId="56" xfId="0" applyBorder="1" applyAlignment="1">
      <alignment vertical="center" wrapText="1"/>
    </xf>
    <xf numFmtId="0" fontId="0" fillId="0" borderId="60" xfId="0" applyBorder="1" applyAlignment="1">
      <alignment vertical="center" wrapText="1"/>
    </xf>
    <xf numFmtId="0" fontId="0" fillId="0" borderId="24" xfId="0" applyBorder="1" applyAlignment="1">
      <alignment vertical="center" wrapText="1"/>
    </xf>
    <xf numFmtId="0" fontId="0" fillId="0" borderId="65" xfId="0" applyBorder="1" applyAlignment="1">
      <alignment vertical="center" wrapText="1"/>
    </xf>
    <xf numFmtId="0" fontId="0" fillId="0" borderId="12" xfId="0" applyBorder="1" applyAlignment="1">
      <alignment vertical="center" wrapText="1"/>
    </xf>
    <xf numFmtId="0" fontId="0" fillId="0" borderId="23" xfId="0" applyBorder="1" applyAlignment="1">
      <alignment vertical="center" wrapText="1"/>
    </xf>
    <xf numFmtId="2" fontId="31" fillId="9" borderId="52" xfId="0" applyNumberFormat="1" applyFont="1" applyFill="1" applyBorder="1" applyAlignment="1">
      <alignment horizontal="center" vertical="center" wrapText="1"/>
    </xf>
    <xf numFmtId="0" fontId="0" fillId="0" borderId="53" xfId="0" applyBorder="1" applyAlignment="1">
      <alignment horizontal="center" vertical="center" wrapText="1"/>
    </xf>
    <xf numFmtId="0" fontId="0" fillId="0" borderId="54" xfId="0" applyBorder="1" applyAlignment="1">
      <alignment horizontal="center" vertical="center" wrapText="1"/>
    </xf>
    <xf numFmtId="0" fontId="0" fillId="0" borderId="57" xfId="0" applyBorder="1" applyAlignment="1">
      <alignment horizontal="center" vertical="center" wrapText="1"/>
    </xf>
    <xf numFmtId="0" fontId="0" fillId="0" borderId="0" xfId="0" applyAlignment="1">
      <alignment horizontal="center" vertical="center" wrapText="1"/>
    </xf>
    <xf numFmtId="0" fontId="0" fillId="0" borderId="58" xfId="0" applyBorder="1" applyAlignment="1">
      <alignment horizontal="center" vertical="center"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center" vertical="center" wrapText="1"/>
    </xf>
    <xf numFmtId="170" fontId="5" fillId="8" borderId="69" xfId="3" applyNumberFormat="1" applyFont="1" applyFill="1" applyBorder="1" applyAlignment="1" applyProtection="1">
      <alignment horizontal="center"/>
    </xf>
    <xf numFmtId="170" fontId="5" fillId="0" borderId="70" xfId="0" applyNumberFormat="1" applyFont="1" applyBorder="1" applyAlignment="1">
      <alignment horizontal="center"/>
    </xf>
    <xf numFmtId="0" fontId="0" fillId="0" borderId="54" xfId="0" applyBorder="1" applyAlignment="1">
      <alignment horizontal="center"/>
    </xf>
    <xf numFmtId="0" fontId="0" fillId="0" borderId="57" xfId="0" applyBorder="1" applyAlignment="1">
      <alignment horizontal="center"/>
    </xf>
    <xf numFmtId="0" fontId="0" fillId="0" borderId="58" xfId="0" applyBorder="1" applyAlignment="1">
      <alignment horizontal="center"/>
    </xf>
    <xf numFmtId="0" fontId="0" fillId="0" borderId="61" xfId="0" applyBorder="1" applyAlignment="1">
      <alignment horizontal="center"/>
    </xf>
    <xf numFmtId="0" fontId="0" fillId="0" borderId="63" xfId="0" applyBorder="1" applyAlignment="1">
      <alignment horizontal="center"/>
    </xf>
    <xf numFmtId="4" fontId="4" fillId="8" borderId="66" xfId="3" applyNumberFormat="1" applyFill="1" applyBorder="1" applyAlignment="1" applyProtection="1">
      <protection locked="0"/>
    </xf>
    <xf numFmtId="4" fontId="4" fillId="8" borderId="67" xfId="3" applyNumberFormat="1" applyFill="1" applyBorder="1" applyAlignment="1" applyProtection="1">
      <protection locked="0"/>
    </xf>
    <xf numFmtId="4" fontId="4" fillId="8" borderId="68" xfId="3" applyNumberFormat="1" applyFill="1" applyBorder="1" applyAlignment="1" applyProtection="1">
      <protection locked="0"/>
    </xf>
    <xf numFmtId="4" fontId="4" fillId="8" borderId="22" xfId="3" applyNumberFormat="1" applyFill="1" applyBorder="1" applyAlignment="1" applyProtection="1">
      <alignment horizontal="right"/>
    </xf>
    <xf numFmtId="4" fontId="0" fillId="0" borderId="22" xfId="0" applyNumberFormat="1" applyBorder="1" applyAlignment="1">
      <alignment horizontal="right"/>
    </xf>
    <xf numFmtId="4" fontId="4" fillId="8" borderId="71" xfId="3" applyNumberFormat="1" applyFill="1" applyBorder="1" applyAlignment="1" applyProtection="1">
      <protection locked="0"/>
    </xf>
    <xf numFmtId="4" fontId="4" fillId="8" borderId="13" xfId="3" applyNumberFormat="1" applyFill="1" applyBorder="1" applyAlignment="1" applyProtection="1">
      <protection locked="0"/>
    </xf>
    <xf numFmtId="4" fontId="4" fillId="8" borderId="72" xfId="3" applyNumberFormat="1" applyFill="1" applyBorder="1" applyAlignment="1" applyProtection="1">
      <protection locked="0"/>
    </xf>
    <xf numFmtId="4" fontId="5" fillId="8" borderId="22" xfId="3" applyNumberFormat="1" applyFont="1" applyFill="1" applyBorder="1" applyAlignment="1" applyProtection="1">
      <alignment horizontal="center"/>
    </xf>
    <xf numFmtId="4" fontId="5" fillId="0" borderId="22" xfId="0" applyNumberFormat="1" applyFont="1" applyBorder="1" applyAlignment="1">
      <alignment horizontal="center"/>
    </xf>
    <xf numFmtId="4" fontId="4" fillId="8" borderId="22" xfId="3" applyNumberFormat="1" applyFill="1" applyBorder="1" applyAlignment="1" applyProtection="1">
      <protection locked="0"/>
    </xf>
    <xf numFmtId="4" fontId="0" fillId="0" borderId="22" xfId="0" applyNumberFormat="1" applyBorder="1" applyProtection="1">
      <protection locked="0"/>
    </xf>
    <xf numFmtId="0" fontId="29" fillId="0" borderId="48" xfId="0" applyFont="1" applyBorder="1" applyAlignment="1">
      <alignment vertical="center"/>
    </xf>
    <xf numFmtId="0" fontId="29" fillId="0" borderId="49" xfId="0" applyFont="1" applyBorder="1" applyAlignment="1">
      <alignment vertical="center"/>
    </xf>
    <xf numFmtId="4" fontId="4" fillId="8" borderId="70" xfId="3" applyNumberFormat="1" applyFill="1" applyBorder="1" applyAlignment="1" applyProtection="1">
      <alignment horizontal="right"/>
    </xf>
    <xf numFmtId="4" fontId="0" fillId="0" borderId="70" xfId="0" applyNumberFormat="1" applyBorder="1" applyAlignment="1">
      <alignment horizontal="right"/>
    </xf>
    <xf numFmtId="4" fontId="5" fillId="8" borderId="71" xfId="3" applyNumberFormat="1" applyFont="1" applyFill="1" applyBorder="1" applyAlignment="1" applyProtection="1"/>
    <xf numFmtId="0" fontId="0" fillId="0" borderId="13" xfId="0" applyBorder="1"/>
    <xf numFmtId="0" fontId="0" fillId="0" borderId="72" xfId="0" applyBorder="1"/>
    <xf numFmtId="4" fontId="4" fillId="8" borderId="70" xfId="3" applyNumberFormat="1" applyFill="1" applyBorder="1" applyAlignment="1" applyProtection="1">
      <protection locked="0"/>
    </xf>
    <xf numFmtId="4" fontId="0" fillId="0" borderId="70" xfId="0" applyNumberFormat="1" applyBorder="1" applyProtection="1">
      <protection locked="0"/>
    </xf>
    <xf numFmtId="4" fontId="4" fillId="8" borderId="71" xfId="3" applyNumberFormat="1" applyFont="1" applyFill="1" applyBorder="1" applyAlignment="1" applyProtection="1">
      <alignment horizontal="center"/>
    </xf>
    <xf numFmtId="0" fontId="4" fillId="0" borderId="13" xfId="0" applyFont="1" applyBorder="1" applyAlignment="1">
      <alignment horizontal="center"/>
    </xf>
    <xf numFmtId="0" fontId="4" fillId="0" borderId="72" xfId="0" applyFont="1" applyBorder="1" applyAlignment="1">
      <alignment horizontal="center"/>
    </xf>
    <xf numFmtId="4" fontId="5" fillId="0" borderId="71" xfId="0" applyNumberFormat="1" applyFont="1" applyBorder="1" applyAlignment="1">
      <alignment horizontal="center"/>
    </xf>
    <xf numFmtId="0" fontId="0" fillId="0" borderId="13" xfId="0" applyBorder="1" applyAlignment="1">
      <alignment horizontal="center"/>
    </xf>
    <xf numFmtId="0" fontId="0" fillId="0" borderId="72" xfId="0" applyBorder="1" applyAlignment="1">
      <alignment horizontal="center"/>
    </xf>
    <xf numFmtId="0" fontId="11" fillId="0" borderId="94" xfId="0" applyFont="1" applyBorder="1" applyAlignment="1">
      <alignment wrapText="1"/>
    </xf>
    <xf numFmtId="0" fontId="11" fillId="0" borderId="95" xfId="0" applyFont="1" applyBorder="1" applyAlignment="1">
      <alignment wrapText="1"/>
    </xf>
    <xf numFmtId="0" fontId="11" fillId="0" borderId="96" xfId="0" applyFont="1" applyBorder="1" applyAlignment="1">
      <alignment wrapText="1"/>
    </xf>
    <xf numFmtId="0" fontId="11" fillId="0" borderId="60" xfId="0" applyFont="1" applyBorder="1" applyAlignment="1">
      <alignment wrapText="1"/>
    </xf>
    <xf numFmtId="0" fontId="11" fillId="0" borderId="0" xfId="0" applyFont="1" applyAlignment="1">
      <alignment wrapText="1"/>
    </xf>
    <xf numFmtId="0" fontId="11" fillId="0" borderId="24" xfId="0" applyFont="1" applyBorder="1" applyAlignment="1">
      <alignment wrapText="1"/>
    </xf>
    <xf numFmtId="0" fontId="11" fillId="0" borderId="97" xfId="0" applyFont="1" applyBorder="1" applyAlignment="1">
      <alignment wrapText="1"/>
    </xf>
    <xf numFmtId="0" fontId="11" fillId="0" borderId="98" xfId="0" applyFont="1" applyBorder="1" applyAlignment="1">
      <alignment wrapText="1"/>
    </xf>
    <xf numFmtId="0" fontId="11" fillId="0" borderId="99" xfId="0" applyFont="1" applyBorder="1" applyAlignment="1">
      <alignment wrapText="1"/>
    </xf>
    <xf numFmtId="0" fontId="0" fillId="8" borderId="13" xfId="0" applyFill="1" applyBorder="1" applyProtection="1">
      <protection locked="0"/>
    </xf>
    <xf numFmtId="0" fontId="0" fillId="0" borderId="13" xfId="0" applyBorder="1" applyProtection="1">
      <protection locked="0"/>
    </xf>
    <xf numFmtId="171" fontId="5" fillId="0" borderId="67" xfId="0" applyNumberFormat="1" applyFont="1" applyBorder="1" applyAlignment="1">
      <alignment horizontal="center"/>
    </xf>
    <xf numFmtId="0" fontId="4" fillId="8" borderId="12" xfId="0" applyFont="1" applyFill="1" applyBorder="1" applyProtection="1">
      <protection locked="0"/>
    </xf>
    <xf numFmtId="0" fontId="0" fillId="8" borderId="12" xfId="0" applyFill="1" applyBorder="1" applyProtection="1">
      <protection locked="0"/>
    </xf>
    <xf numFmtId="0" fontId="0" fillId="0" borderId="12" xfId="0" applyBorder="1" applyProtection="1">
      <protection locked="0"/>
    </xf>
    <xf numFmtId="0" fontId="4" fillId="0" borderId="13" xfId="0" applyFont="1" applyBorder="1" applyProtection="1">
      <protection locked="0"/>
    </xf>
    <xf numFmtId="0" fontId="4" fillId="8" borderId="13" xfId="0" applyFont="1" applyFill="1" applyBorder="1" applyProtection="1">
      <protection locked="0"/>
    </xf>
    <xf numFmtId="170" fontId="5" fillId="8" borderId="69" xfId="3" applyNumberFormat="1" applyFont="1" applyFill="1" applyBorder="1" applyAlignment="1" applyProtection="1"/>
    <xf numFmtId="170" fontId="5" fillId="0" borderId="70" xfId="0" applyNumberFormat="1" applyFont="1" applyBorder="1"/>
    <xf numFmtId="4" fontId="5" fillId="8" borderId="65" xfId="3" applyNumberFormat="1" applyFont="1" applyFill="1" applyBorder="1" applyAlignment="1" applyProtection="1">
      <alignment horizontal="center"/>
    </xf>
    <xf numFmtId="0" fontId="0" fillId="0" borderId="12" xfId="0" applyBorder="1" applyAlignment="1">
      <alignment horizontal="center"/>
    </xf>
    <xf numFmtId="0" fontId="0" fillId="0" borderId="23" xfId="0" applyBorder="1" applyAlignment="1">
      <alignment horizontal="center"/>
    </xf>
    <xf numFmtId="4" fontId="4" fillId="8" borderId="66" xfId="3" applyNumberFormat="1" applyFont="1" applyFill="1" applyBorder="1" applyAlignment="1" applyProtection="1">
      <alignment horizontal="center"/>
    </xf>
    <xf numFmtId="0" fontId="4" fillId="0" borderId="67" xfId="0" applyFont="1" applyBorder="1" applyAlignment="1">
      <alignment horizontal="center"/>
    </xf>
    <xf numFmtId="0" fontId="4" fillId="0" borderId="68" xfId="0" applyFont="1" applyBorder="1" applyAlignment="1">
      <alignment horizontal="center"/>
    </xf>
    <xf numFmtId="4" fontId="5" fillId="0" borderId="65" xfId="0" applyNumberFormat="1" applyFont="1" applyBorder="1" applyAlignment="1">
      <alignment horizontal="center"/>
    </xf>
    <xf numFmtId="4" fontId="5" fillId="8" borderId="22" xfId="3" applyNumberFormat="1" applyFont="1" applyFill="1" applyBorder="1" applyAlignment="1" applyProtection="1"/>
    <xf numFmtId="4" fontId="5" fillId="0" borderId="22" xfId="0" applyNumberFormat="1" applyFont="1" applyBorder="1"/>
    <xf numFmtId="0" fontId="29" fillId="0" borderId="0" xfId="0" applyFont="1"/>
    <xf numFmtId="0" fontId="0" fillId="0" borderId="0" xfId="0"/>
    <xf numFmtId="0" fontId="30" fillId="8" borderId="0" xfId="0" applyFont="1" applyFill="1" applyAlignment="1">
      <alignment horizontal="left"/>
    </xf>
    <xf numFmtId="0" fontId="37" fillId="0" borderId="0" xfId="0" applyFont="1" applyAlignment="1">
      <alignment horizontal="left"/>
    </xf>
    <xf numFmtId="0" fontId="16" fillId="8" borderId="0" xfId="0" applyFont="1" applyFill="1" applyAlignment="1">
      <alignment horizontal="center"/>
    </xf>
    <xf numFmtId="0" fontId="32" fillId="9" borderId="73" xfId="0" applyFont="1" applyFill="1" applyBorder="1" applyAlignment="1">
      <alignment horizontal="center"/>
    </xf>
    <xf numFmtId="0" fontId="0" fillId="0" borderId="25" xfId="0" applyBorder="1" applyAlignment="1">
      <alignment horizontal="center"/>
    </xf>
    <xf numFmtId="0" fontId="0" fillId="0" borderId="74" xfId="0" applyBorder="1" applyAlignment="1">
      <alignment horizontal="center"/>
    </xf>
    <xf numFmtId="0" fontId="0" fillId="0" borderId="54" xfId="0" applyBorder="1" applyAlignment="1">
      <alignment vertical="center" wrapText="1"/>
    </xf>
    <xf numFmtId="0" fontId="32" fillId="9" borderId="76" xfId="0" applyFont="1" applyFill="1" applyBorder="1" applyAlignment="1">
      <alignment horizontal="center" vertical="center" wrapText="1"/>
    </xf>
    <xf numFmtId="0" fontId="0" fillId="0" borderId="28" xfId="0" applyBorder="1" applyAlignment="1">
      <alignment horizontal="center" vertical="center" wrapText="1"/>
    </xf>
    <xf numFmtId="0" fontId="0" fillId="0" borderId="70" xfId="0" applyBorder="1" applyAlignment="1">
      <alignment horizontal="center" vertical="center" wrapText="1"/>
    </xf>
    <xf numFmtId="4" fontId="4" fillId="8" borderId="0" xfId="0" applyNumberFormat="1" applyFont="1" applyFill="1" applyAlignment="1">
      <alignment horizontal="right"/>
    </xf>
    <xf numFmtId="4" fontId="0" fillId="0" borderId="0" xfId="0" applyNumberFormat="1"/>
    <xf numFmtId="4" fontId="28" fillId="8" borderId="69" xfId="0" applyNumberFormat="1" applyFont="1" applyFill="1" applyBorder="1"/>
    <xf numFmtId="4" fontId="28" fillId="0" borderId="70" xfId="0" applyNumberFormat="1" applyFont="1" applyBorder="1"/>
    <xf numFmtId="0" fontId="29" fillId="8" borderId="0" xfId="0" applyFont="1" applyFill="1"/>
    <xf numFmtId="0" fontId="29" fillId="0" borderId="12" xfId="0" applyFont="1" applyBorder="1"/>
    <xf numFmtId="0" fontId="0" fillId="0" borderId="12" xfId="0" applyBorder="1"/>
    <xf numFmtId="0" fontId="29" fillId="8" borderId="12" xfId="0" applyFont="1" applyFill="1" applyBorder="1" applyProtection="1">
      <protection locked="0"/>
    </xf>
    <xf numFmtId="0" fontId="5" fillId="8" borderId="65" xfId="0" applyFont="1" applyFill="1" applyBorder="1" applyAlignment="1">
      <alignment horizontal="center"/>
    </xf>
    <xf numFmtId="0" fontId="4" fillId="8" borderId="65" xfId="0" applyFont="1" applyFill="1" applyBorder="1"/>
    <xf numFmtId="0" fontId="0" fillId="7" borderId="18" xfId="0" applyFill="1" applyBorder="1" applyAlignment="1">
      <alignment horizontal="center" vertical="center" wrapText="1"/>
    </xf>
    <xf numFmtId="0" fontId="0" fillId="7" borderId="19" xfId="0" applyFill="1" applyBorder="1" applyAlignment="1">
      <alignment horizontal="center" vertical="center" wrapText="1"/>
    </xf>
    <xf numFmtId="0" fontId="0" fillId="7" borderId="20" xfId="0" applyFill="1" applyBorder="1" applyAlignment="1">
      <alignment horizontal="center" vertical="center" wrapText="1"/>
    </xf>
    <xf numFmtId="0" fontId="0" fillId="4" borderId="17" xfId="0" applyFill="1" applyBorder="1" applyAlignment="1">
      <alignment wrapText="1"/>
    </xf>
    <xf numFmtId="0" fontId="0" fillId="4" borderId="13" xfId="0" applyFill="1" applyBorder="1" applyAlignment="1">
      <alignment wrapText="1"/>
    </xf>
    <xf numFmtId="0" fontId="0" fillId="4" borderId="9" xfId="0" applyFill="1" applyBorder="1" applyAlignment="1">
      <alignment wrapText="1"/>
    </xf>
    <xf numFmtId="0" fontId="2" fillId="7" borderId="17" xfId="0" applyFont="1" applyFill="1" applyBorder="1" applyAlignment="1">
      <alignment horizontal="left" vertical="top" wrapText="1"/>
    </xf>
    <xf numFmtId="0" fontId="2" fillId="0" borderId="13" xfId="0" applyFont="1" applyBorder="1" applyAlignment="1">
      <alignment horizontal="left" vertical="top" wrapText="1"/>
    </xf>
    <xf numFmtId="0" fontId="2" fillId="0" borderId="9" xfId="0" applyFont="1" applyBorder="1" applyAlignment="1">
      <alignment horizontal="left" vertical="top"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2" fillId="5" borderId="10" xfId="0" applyFont="1" applyFill="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4" borderId="103" xfId="0" applyFill="1" applyBorder="1" applyAlignment="1">
      <alignment horizontal="left" vertical="top" wrapText="1"/>
    </xf>
    <xf numFmtId="0" fontId="0" fillId="4" borderId="101" xfId="0" applyFill="1" applyBorder="1" applyAlignment="1">
      <alignment horizontal="left" vertical="top" wrapText="1"/>
    </xf>
    <xf numFmtId="0" fontId="0" fillId="4" borderId="104" xfId="0" applyFill="1" applyBorder="1" applyAlignment="1">
      <alignment horizontal="left" vertical="top" wrapText="1"/>
    </xf>
    <xf numFmtId="0" fontId="1" fillId="4" borderId="17" xfId="0" applyFont="1" applyFill="1" applyBorder="1" applyAlignment="1">
      <alignment wrapText="1"/>
    </xf>
    <xf numFmtId="0" fontId="1" fillId="4" borderId="13" xfId="0" applyFont="1" applyFill="1" applyBorder="1" applyAlignment="1">
      <alignment wrapText="1"/>
    </xf>
    <xf numFmtId="0" fontId="1" fillId="4" borderId="9" xfId="0" applyFont="1" applyFill="1" applyBorder="1" applyAlignment="1">
      <alignment wrapText="1"/>
    </xf>
    <xf numFmtId="0" fontId="4" fillId="2" borderId="0" xfId="1" applyFill="1" applyAlignment="1">
      <alignment horizontal="left" vertical="top" wrapText="1"/>
    </xf>
    <xf numFmtId="0" fontId="4" fillId="2" borderId="42" xfId="1" applyFill="1" applyBorder="1" applyAlignment="1">
      <alignment horizontal="left" vertical="top" wrapText="1"/>
    </xf>
    <xf numFmtId="0" fontId="4" fillId="2" borderId="0" xfId="1" applyFill="1" applyAlignment="1">
      <alignment horizontal="left" wrapText="1"/>
    </xf>
    <xf numFmtId="0" fontId="4" fillId="7" borderId="4" xfId="1" applyFill="1" applyBorder="1"/>
    <xf numFmtId="164" fontId="26" fillId="19" borderId="5" xfId="3" applyNumberFormat="1" applyFont="1" applyFill="1" applyBorder="1" applyAlignment="1">
      <alignment vertical="top" wrapText="1"/>
    </xf>
    <xf numFmtId="0" fontId="0" fillId="19" borderId="5" xfId="0" applyFill="1" applyBorder="1" applyAlignment="1">
      <alignment vertical="top" wrapText="1"/>
    </xf>
    <xf numFmtId="164" fontId="24" fillId="19" borderId="5" xfId="3" applyNumberFormat="1" applyFont="1" applyFill="1" applyBorder="1" applyAlignment="1">
      <alignment wrapText="1"/>
    </xf>
    <xf numFmtId="0" fontId="0" fillId="19" borderId="8" xfId="0" applyFill="1" applyBorder="1" applyAlignment="1">
      <alignment wrapText="1"/>
    </xf>
    <xf numFmtId="0" fontId="47" fillId="19" borderId="0" xfId="1" applyFont="1" applyFill="1" applyAlignment="1">
      <alignment horizontal="left" vertical="top" wrapText="1"/>
    </xf>
    <xf numFmtId="0" fontId="48" fillId="19" borderId="0" xfId="0" applyFont="1" applyFill="1" applyAlignment="1">
      <alignment horizontal="left" vertical="top" wrapText="1"/>
    </xf>
    <xf numFmtId="49" fontId="4" fillId="2" borderId="0" xfId="1" applyNumberFormat="1" applyFill="1" applyAlignment="1">
      <alignment wrapText="1"/>
    </xf>
    <xf numFmtId="49" fontId="0" fillId="2" borderId="0" xfId="0" applyNumberFormat="1" applyFill="1" applyAlignment="1">
      <alignment wrapText="1"/>
    </xf>
    <xf numFmtId="0" fontId="4" fillId="2" borderId="0" xfId="1" applyFill="1" applyAlignment="1">
      <alignment horizontal="center" vertical="center" wrapText="1"/>
    </xf>
    <xf numFmtId="0" fontId="5" fillId="7" borderId="4" xfId="1" applyFont="1" applyFill="1" applyBorder="1" applyAlignment="1">
      <alignment horizontal="center"/>
    </xf>
    <xf numFmtId="0" fontId="5" fillId="7" borderId="0" xfId="1" applyFont="1" applyFill="1" applyAlignment="1">
      <alignment horizontal="center"/>
    </xf>
    <xf numFmtId="0" fontId="67" fillId="0" borderId="0" xfId="1" applyFont="1" applyAlignment="1">
      <alignment horizontal="right" vertical="center"/>
    </xf>
    <xf numFmtId="0" fontId="66" fillId="22" borderId="0" xfId="1" applyFont="1" applyFill="1" applyAlignment="1">
      <alignment horizontal="center" vertical="center" textRotation="90" wrapText="1"/>
    </xf>
    <xf numFmtId="0" fontId="63" fillId="0" borderId="0" xfId="1" applyFont="1" applyAlignment="1">
      <alignment horizontal="center" vertical="top" wrapText="1"/>
    </xf>
    <xf numFmtId="0" fontId="62" fillId="0" borderId="12" xfId="1" applyFont="1" applyBorder="1" applyAlignment="1">
      <alignment horizontal="center" vertical="top" wrapText="1"/>
    </xf>
    <xf numFmtId="0" fontId="58" fillId="0" borderId="0" xfId="1" applyFont="1" applyAlignment="1">
      <alignment horizontal="left" vertical="center" wrapText="1"/>
    </xf>
    <xf numFmtId="0" fontId="5" fillId="0" borderId="0" xfId="1" applyFont="1" applyAlignment="1">
      <alignment horizontal="left" vertical="center" wrapText="1"/>
    </xf>
    <xf numFmtId="0" fontId="59" fillId="0" borderId="0" xfId="1" applyFont="1" applyAlignment="1">
      <alignment horizontal="left" vertical="center" wrapText="1" indent="1"/>
    </xf>
    <xf numFmtId="0" fontId="59" fillId="0" borderId="5" xfId="1" applyFont="1" applyBorder="1" applyAlignment="1">
      <alignment horizontal="left" vertical="center" wrapText="1" indent="1"/>
    </xf>
    <xf numFmtId="0" fontId="60" fillId="0" borderId="10" xfId="1" applyFont="1" applyBorder="1" applyAlignment="1" applyProtection="1">
      <alignment horizontal="left" vertical="center" wrapText="1" indent="1"/>
      <protection locked="0"/>
    </xf>
    <xf numFmtId="0" fontId="60" fillId="0" borderId="15" xfId="1" applyFont="1" applyBorder="1" applyAlignment="1" applyProtection="1">
      <alignment horizontal="left" vertical="center" wrapText="1" indent="1"/>
      <protection locked="0"/>
    </xf>
    <xf numFmtId="0" fontId="61" fillId="0" borderId="16" xfId="1" applyFont="1" applyBorder="1" applyAlignment="1" applyProtection="1">
      <alignment horizontal="left" wrapText="1" indent="1"/>
      <protection locked="0"/>
    </xf>
    <xf numFmtId="0" fontId="16" fillId="0" borderId="1" xfId="1" applyFont="1" applyBorder="1" applyAlignment="1">
      <alignment horizontal="left" vertical="center" wrapText="1"/>
    </xf>
    <xf numFmtId="0" fontId="16" fillId="0" borderId="2" xfId="1" applyFont="1" applyBorder="1" applyAlignment="1">
      <alignment horizontal="left" vertical="center" wrapText="1"/>
    </xf>
    <xf numFmtId="0" fontId="16" fillId="0" borderId="3" xfId="1" applyFont="1" applyBorder="1" applyAlignment="1">
      <alignment horizontal="left" wrapText="1"/>
    </xf>
    <xf numFmtId="0" fontId="16" fillId="0" borderId="4" xfId="1" applyFont="1" applyBorder="1" applyAlignment="1">
      <alignment horizontal="left" vertical="center" wrapText="1"/>
    </xf>
    <xf numFmtId="0" fontId="16" fillId="0" borderId="0" xfId="1" applyFont="1" applyAlignment="1">
      <alignment horizontal="left" vertical="center" wrapText="1"/>
    </xf>
    <xf numFmtId="0" fontId="16" fillId="0" borderId="5" xfId="1" applyFont="1" applyBorder="1" applyAlignment="1">
      <alignment horizontal="left" wrapText="1"/>
    </xf>
    <xf numFmtId="0" fontId="16" fillId="0" borderId="6" xfId="1" applyFont="1" applyBorder="1" applyAlignment="1">
      <alignment horizontal="left" wrapText="1"/>
    </xf>
    <xf numFmtId="0" fontId="16" fillId="0" borderId="7" xfId="1" applyFont="1" applyBorder="1" applyAlignment="1">
      <alignment horizontal="left" wrapText="1"/>
    </xf>
    <xf numFmtId="0" fontId="16" fillId="0" borderId="8" xfId="1" applyFont="1" applyBorder="1" applyAlignment="1">
      <alignment horizontal="left" wrapText="1"/>
    </xf>
    <xf numFmtId="0" fontId="0" fillId="3" borderId="17" xfId="0" applyFill="1" applyBorder="1" applyAlignment="1">
      <alignment wrapText="1"/>
    </xf>
    <xf numFmtId="0" fontId="0" fillId="3" borderId="13" xfId="0" applyFill="1" applyBorder="1" applyAlignment="1">
      <alignment wrapText="1"/>
    </xf>
    <xf numFmtId="0" fontId="0" fillId="3" borderId="9" xfId="0" applyFill="1" applyBorder="1" applyAlignment="1">
      <alignment wrapText="1"/>
    </xf>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52" fillId="0" borderId="1" xfId="0" applyFont="1" applyBorder="1" applyAlignment="1">
      <alignment horizontal="left" vertical="top" wrapText="1"/>
    </xf>
    <xf numFmtId="0" fontId="52" fillId="0" borderId="2" xfId="0" applyFont="1" applyBorder="1" applyAlignment="1">
      <alignment horizontal="left" vertical="top" wrapText="1"/>
    </xf>
    <xf numFmtId="0" fontId="52" fillId="0" borderId="3" xfId="0" applyFont="1" applyBorder="1" applyAlignment="1">
      <alignment horizontal="left" vertical="top" wrapText="1"/>
    </xf>
    <xf numFmtId="0" fontId="52" fillId="0" borderId="4" xfId="0" applyFont="1" applyBorder="1" applyAlignment="1">
      <alignment horizontal="left" vertical="top" wrapText="1"/>
    </xf>
    <xf numFmtId="0" fontId="52" fillId="0" borderId="0" xfId="0" applyFont="1" applyAlignment="1">
      <alignment horizontal="left" vertical="top" wrapText="1"/>
    </xf>
    <xf numFmtId="0" fontId="52" fillId="0" borderId="5" xfId="0" applyFont="1" applyBorder="1" applyAlignment="1">
      <alignment horizontal="left" vertical="top" wrapText="1"/>
    </xf>
    <xf numFmtId="0" fontId="52" fillId="0" borderId="6" xfId="0" applyFont="1" applyBorder="1" applyAlignment="1">
      <alignment horizontal="left" vertical="top" wrapText="1"/>
    </xf>
    <xf numFmtId="0" fontId="52" fillId="0" borderId="7" xfId="0" applyFont="1" applyBorder="1" applyAlignment="1">
      <alignment horizontal="left" vertical="top" wrapText="1"/>
    </xf>
    <xf numFmtId="0" fontId="52" fillId="0" borderId="8" xfId="0" applyFont="1" applyBorder="1" applyAlignment="1">
      <alignment horizontal="left" vertical="top" wrapText="1"/>
    </xf>
    <xf numFmtId="0" fontId="1" fillId="3" borderId="17" xfId="0" applyFont="1" applyFill="1" applyBorder="1" applyAlignment="1">
      <alignment wrapText="1"/>
    </xf>
    <xf numFmtId="0" fontId="1" fillId="3" borderId="13" xfId="0" applyFont="1" applyFill="1" applyBorder="1" applyAlignment="1">
      <alignment wrapText="1"/>
    </xf>
    <xf numFmtId="0" fontId="1" fillId="3" borderId="9" xfId="0" applyFont="1" applyFill="1" applyBorder="1" applyAlignment="1">
      <alignment wrapText="1"/>
    </xf>
    <xf numFmtId="0" fontId="17" fillId="2" borderId="0" xfId="6" applyFont="1" applyFill="1" applyAlignment="1">
      <alignment horizontal="left" vertical="center" wrapText="1"/>
    </xf>
    <xf numFmtId="0" fontId="0" fillId="2" borderId="0" xfId="0" applyFill="1" applyAlignment="1">
      <alignment horizontal="left" vertical="center" wrapText="1"/>
    </xf>
    <xf numFmtId="0" fontId="13" fillId="2" borderId="0" xfId="6" applyFont="1" applyFill="1" applyAlignment="1">
      <alignment horizontal="center" vertical="center"/>
    </xf>
    <xf numFmtId="0" fontId="0" fillId="0" borderId="0" xfId="0" applyAlignment="1">
      <alignment horizontal="center" vertical="center"/>
    </xf>
    <xf numFmtId="0" fontId="21" fillId="2" borderId="0" xfId="0" applyFont="1" applyFill="1" applyAlignment="1">
      <alignment horizontal="left" vertical="top" wrapText="1"/>
    </xf>
    <xf numFmtId="0" fontId="1" fillId="0" borderId="0" xfId="0" applyFont="1" applyAlignment="1">
      <alignment horizontal="left" vertical="top" wrapText="1"/>
    </xf>
    <xf numFmtId="0" fontId="22" fillId="2" borderId="0" xfId="0" applyFont="1" applyFill="1" applyAlignment="1">
      <alignment horizontal="left" wrapText="1"/>
    </xf>
    <xf numFmtId="0" fontId="2" fillId="0" borderId="0" xfId="0" applyFont="1" applyAlignment="1">
      <alignment horizontal="left" wrapText="1"/>
    </xf>
  </cellXfs>
  <cellStyles count="24">
    <cellStyle name="Comma 2" xfId="3" xr:uid="{00000000-0005-0000-0000-000000000000}"/>
    <cellStyle name="Comma 2 2" xfId="15" xr:uid="{00000000-0005-0000-0000-000001000000}"/>
    <cellStyle name="Comma 2 3" xfId="16" xr:uid="{00000000-0005-0000-0000-000002000000}"/>
    <cellStyle name="Comma 2 4" xfId="22" xr:uid="{00000000-0005-0000-0000-000003000000}"/>
    <cellStyle name="Comma 3" xfId="8" xr:uid="{00000000-0005-0000-0000-000004000000}"/>
    <cellStyle name="Comma 4" xfId="11" xr:uid="{00000000-0005-0000-0000-000005000000}"/>
    <cellStyle name="Currency" xfId="5" builtinId="4"/>
    <cellStyle name="Currency 2" xfId="4" xr:uid="{00000000-0005-0000-0000-000007000000}"/>
    <cellStyle name="Currency 2 2" xfId="23" xr:uid="{00000000-0005-0000-0000-000008000000}"/>
    <cellStyle name="Currency 3" xfId="9" xr:uid="{00000000-0005-0000-0000-000009000000}"/>
    <cellStyle name="Currency 4" xfId="12" xr:uid="{00000000-0005-0000-0000-00000A000000}"/>
    <cellStyle name="Hyperlink" xfId="14" builtinId="8"/>
    <cellStyle name="Normal" xfId="0" builtinId="0"/>
    <cellStyle name="Normal 2" xfId="1" xr:uid="{00000000-0005-0000-0000-00000D000000}"/>
    <cellStyle name="Normal 2 2" xfId="21" xr:uid="{00000000-0005-0000-0000-00000E000000}"/>
    <cellStyle name="Normal 3" xfId="6" xr:uid="{00000000-0005-0000-0000-00000F000000}"/>
    <cellStyle name="Normal 4" xfId="10" xr:uid="{00000000-0005-0000-0000-000010000000}"/>
    <cellStyle name="Normal 5" xfId="13" xr:uid="{00000000-0005-0000-0000-000011000000}"/>
    <cellStyle name="Normal 6" xfId="19" xr:uid="{00000000-0005-0000-0000-000012000000}"/>
    <cellStyle name="Percent" xfId="20" builtinId="5"/>
    <cellStyle name="Percent 2" xfId="2" xr:uid="{00000000-0005-0000-0000-000014000000}"/>
    <cellStyle name="Percent 2 2" xfId="17" xr:uid="{00000000-0005-0000-0000-000015000000}"/>
    <cellStyle name="Percent 2 3" xfId="18" xr:uid="{00000000-0005-0000-0000-000016000000}"/>
    <cellStyle name="Percent 3" xfId="7" xr:uid="{00000000-0005-0000-0000-00001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38100</xdr:colOff>
      <xdr:row>5</xdr:row>
      <xdr:rowOff>160020</xdr:rowOff>
    </xdr:from>
    <xdr:to>
      <xdr:col>2</xdr:col>
      <xdr:colOff>1943100</xdr:colOff>
      <xdr:row>6</xdr:row>
      <xdr:rowOff>60960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flipH="1" flipV="1">
          <a:off x="1571625" y="1360170"/>
          <a:ext cx="1905000" cy="129540"/>
        </a:xfrm>
        <a:prstGeom prst="line">
          <a:avLst/>
        </a:prstGeom>
        <a:noFill/>
        <a:ln w="9525">
          <a:solidFill>
            <a:srgbClr val="000000"/>
          </a:solidFill>
          <a:round/>
          <a:headEnd/>
          <a:tailEnd type="triangle" w="med" len="med"/>
        </a:ln>
      </xdr:spPr>
    </xdr:sp>
    <xdr:clientData/>
  </xdr:twoCellAnchor>
  <xdr:twoCellAnchor>
    <xdr:from>
      <xdr:col>2</xdr:col>
      <xdr:colOff>30480</xdr:colOff>
      <xdr:row>6</xdr:row>
      <xdr:rowOff>121920</xdr:rowOff>
    </xdr:from>
    <xdr:to>
      <xdr:col>2</xdr:col>
      <xdr:colOff>1927860</xdr:colOff>
      <xdr:row>6</xdr:row>
      <xdr:rowOff>129540</xdr:rowOff>
    </xdr:to>
    <xdr:sp macro="" textlink="">
      <xdr:nvSpPr>
        <xdr:cNvPr id="3" name="Line 2">
          <a:extLst>
            <a:ext uri="{FF2B5EF4-FFF2-40B4-BE49-F238E27FC236}">
              <a16:creationId xmlns:a16="http://schemas.microsoft.com/office/drawing/2014/main" id="{00000000-0008-0000-0800-000003000000}"/>
            </a:ext>
          </a:extLst>
        </xdr:cNvPr>
        <xdr:cNvSpPr>
          <a:spLocks noChangeShapeType="1"/>
        </xdr:cNvSpPr>
      </xdr:nvSpPr>
      <xdr:spPr bwMode="auto">
        <a:xfrm flipH="1" flipV="1">
          <a:off x="1564005" y="1550670"/>
          <a:ext cx="1897380" cy="7620"/>
        </a:xfrm>
        <a:prstGeom prst="line">
          <a:avLst/>
        </a:prstGeom>
        <a:noFill/>
        <a:ln w="9525">
          <a:solidFill>
            <a:srgbClr val="000000"/>
          </a:solidFill>
          <a:round/>
          <a:headEnd/>
          <a:tailEnd type="triangle" w="med" len="me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neill\AppData\Local\Microsoft\Windows\Temporary%20Internet%20Files\Content.Outlook\KYGTKBKH\APS011_Forms_HE_711-in%20process%20of%20being%20upda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 Section I"/>
      <sheetName val="HE, Section II"/>
      <sheetName val="LocalFdsAdj"/>
    </sheetNames>
    <sheetDataSet>
      <sheetData sheetId="0">
        <row r="20">
          <cell r="K20">
            <v>225953331</v>
          </cell>
          <cell r="O20">
            <v>0.69204562722231233</v>
          </cell>
        </row>
        <row r="33">
          <cell r="K33">
            <v>100547295.70999999</v>
          </cell>
          <cell r="O33">
            <v>0.30795437277768772</v>
          </cell>
        </row>
        <row r="44">
          <cell r="K44">
            <v>0</v>
          </cell>
          <cell r="O44">
            <v>0</v>
          </cell>
        </row>
        <row r="57">
          <cell r="K57">
            <v>0</v>
          </cell>
          <cell r="O57">
            <v>0</v>
          </cell>
        </row>
      </sheetData>
      <sheetData sheetId="1">
        <row r="15">
          <cell r="I15">
            <v>19658555.75</v>
          </cell>
        </row>
        <row r="31">
          <cell r="I31">
            <v>33503310.609999999</v>
          </cell>
        </row>
        <row r="53">
          <cell r="I53">
            <v>6738879.25</v>
          </cell>
        </row>
        <row r="69">
          <cell r="I69">
            <v>11535256.27</v>
          </cell>
        </row>
      </sheetData>
      <sheetData sheetId="2">
        <row r="25">
          <cell r="D25">
            <v>21999029.152701121</v>
          </cell>
        </row>
        <row r="26">
          <cell r="D26">
            <v>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Q51"/>
  <sheetViews>
    <sheetView topLeftCell="A7" workbookViewId="0">
      <selection activeCell="D22" sqref="D22"/>
    </sheetView>
  </sheetViews>
  <sheetFormatPr defaultRowHeight="15" x14ac:dyDescent="0.25"/>
  <cols>
    <col min="3" max="3" width="53.28515625" customWidth="1"/>
    <col min="4" max="4" width="50.7109375" customWidth="1"/>
  </cols>
  <sheetData>
    <row r="1" spans="1:17" ht="15.75" thickBot="1" x14ac:dyDescent="0.3">
      <c r="A1" s="9" t="s">
        <v>86</v>
      </c>
      <c r="B1" s="8"/>
      <c r="C1" s="8"/>
      <c r="D1" s="8"/>
      <c r="E1" s="8"/>
      <c r="F1" s="8"/>
      <c r="G1" s="8"/>
      <c r="H1" s="8"/>
      <c r="I1" s="8"/>
      <c r="J1" s="8"/>
      <c r="K1" s="540"/>
      <c r="L1" s="541"/>
      <c r="M1" s="541"/>
      <c r="N1" s="541"/>
      <c r="O1" s="541"/>
      <c r="P1" s="541"/>
      <c r="Q1" s="541"/>
    </row>
    <row r="2" spans="1:17" ht="15.75" thickTop="1" x14ac:dyDescent="0.25">
      <c r="A2" s="83" t="s">
        <v>120</v>
      </c>
      <c r="B2" s="84"/>
      <c r="C2" s="84"/>
      <c r="D2" s="85"/>
      <c r="E2" s="537" t="s">
        <v>311</v>
      </c>
      <c r="F2" s="538"/>
      <c r="G2" s="538"/>
      <c r="H2" s="538"/>
      <c r="I2" s="538"/>
      <c r="J2" s="538"/>
      <c r="K2" s="541"/>
      <c r="L2" s="541"/>
      <c r="M2" s="541"/>
      <c r="N2" s="541"/>
      <c r="O2" s="541"/>
      <c r="P2" s="541"/>
      <c r="Q2" s="541"/>
    </row>
    <row r="3" spans="1:17" x14ac:dyDescent="0.25">
      <c r="A3" s="86" t="s">
        <v>511</v>
      </c>
      <c r="B3" s="12"/>
      <c r="C3" s="13"/>
      <c r="D3" s="525">
        <v>2023</v>
      </c>
      <c r="E3" s="539"/>
      <c r="F3" s="538"/>
      <c r="G3" s="538"/>
      <c r="H3" s="538"/>
      <c r="I3" s="538"/>
      <c r="J3" s="538"/>
      <c r="K3" s="541"/>
      <c r="L3" s="541"/>
      <c r="M3" s="541"/>
      <c r="N3" s="541"/>
      <c r="O3" s="541"/>
      <c r="P3" s="541"/>
      <c r="Q3" s="541"/>
    </row>
    <row r="4" spans="1:17" x14ac:dyDescent="0.25">
      <c r="A4" s="76" t="s">
        <v>80</v>
      </c>
      <c r="B4" s="10"/>
      <c r="C4" s="11"/>
      <c r="D4" s="78" t="s">
        <v>362</v>
      </c>
      <c r="E4" s="539"/>
      <c r="F4" s="538"/>
      <c r="G4" s="538"/>
      <c r="H4" s="538"/>
      <c r="I4" s="538"/>
      <c r="J4" s="538"/>
      <c r="K4" s="541"/>
      <c r="L4" s="541"/>
      <c r="M4" s="541"/>
      <c r="N4" s="541"/>
      <c r="O4" s="541"/>
      <c r="P4" s="541"/>
      <c r="Q4" s="541"/>
    </row>
    <row r="5" spans="1:17" x14ac:dyDescent="0.25">
      <c r="A5" s="76" t="s">
        <v>82</v>
      </c>
      <c r="B5" s="10"/>
      <c r="C5" s="11"/>
      <c r="D5" s="78">
        <v>711</v>
      </c>
      <c r="E5" s="539"/>
      <c r="F5" s="538"/>
      <c r="G5" s="538"/>
      <c r="H5" s="538"/>
      <c r="I5" s="538"/>
      <c r="J5" s="538"/>
      <c r="K5" s="541"/>
      <c r="L5" s="541"/>
      <c r="M5" s="541"/>
      <c r="N5" s="541"/>
      <c r="O5" s="541"/>
      <c r="P5" s="541"/>
      <c r="Q5" s="541"/>
    </row>
    <row r="6" spans="1:17" x14ac:dyDescent="0.25">
      <c r="A6" s="76" t="s">
        <v>85</v>
      </c>
      <c r="B6" s="10"/>
      <c r="C6" s="11"/>
      <c r="D6" s="78" t="s">
        <v>490</v>
      </c>
      <c r="E6" s="539"/>
      <c r="F6" s="538"/>
      <c r="G6" s="538"/>
      <c r="H6" s="538"/>
      <c r="I6" s="538"/>
      <c r="J6" s="538"/>
      <c r="K6" s="541"/>
      <c r="L6" s="541"/>
      <c r="M6" s="541"/>
      <c r="N6" s="541"/>
      <c r="O6" s="541"/>
      <c r="P6" s="541"/>
      <c r="Q6" s="541"/>
    </row>
    <row r="7" spans="1:17" x14ac:dyDescent="0.25">
      <c r="A7" s="76" t="s">
        <v>105</v>
      </c>
      <c r="B7" s="10"/>
      <c r="C7" s="11"/>
      <c r="D7" s="87">
        <f ca="1">TODAY()</f>
        <v>45481</v>
      </c>
      <c r="E7" s="539"/>
      <c r="F7" s="538"/>
      <c r="G7" s="538"/>
      <c r="H7" s="538"/>
      <c r="I7" s="538"/>
      <c r="J7" s="538"/>
      <c r="K7" s="541"/>
      <c r="L7" s="541"/>
      <c r="M7" s="541"/>
      <c r="N7" s="541"/>
      <c r="O7" s="541"/>
      <c r="P7" s="541"/>
      <c r="Q7" s="541"/>
    </row>
    <row r="8" spans="1:17" x14ac:dyDescent="0.25">
      <c r="A8" s="86" t="s">
        <v>118</v>
      </c>
      <c r="B8" s="8"/>
      <c r="C8" s="8"/>
      <c r="D8" s="77">
        <v>0.03</v>
      </c>
      <c r="E8" s="539"/>
      <c r="F8" s="538"/>
      <c r="G8" s="538"/>
      <c r="H8" s="538"/>
      <c r="I8" s="538"/>
      <c r="J8" s="538"/>
      <c r="K8" s="541"/>
      <c r="L8" s="541"/>
      <c r="M8" s="541"/>
      <c r="N8" s="541"/>
      <c r="O8" s="541"/>
      <c r="P8" s="541"/>
      <c r="Q8" s="541"/>
    </row>
    <row r="9" spans="1:17" ht="15.75" thickBot="1" x14ac:dyDescent="0.3">
      <c r="A9" s="79"/>
      <c r="B9" s="80"/>
      <c r="C9" s="81"/>
      <c r="D9" s="82"/>
      <c r="E9" s="539"/>
      <c r="F9" s="538"/>
      <c r="G9" s="538"/>
      <c r="H9" s="538"/>
      <c r="I9" s="538"/>
      <c r="J9" s="538"/>
      <c r="K9" s="541"/>
      <c r="L9" s="541"/>
      <c r="M9" s="541"/>
      <c r="N9" s="541"/>
      <c r="O9" s="541"/>
      <c r="P9" s="541"/>
      <c r="Q9" s="541"/>
    </row>
    <row r="10" spans="1:17" ht="15.75" thickTop="1" x14ac:dyDescent="0.25">
      <c r="A10" s="73" t="s">
        <v>121</v>
      </c>
      <c r="B10" s="74"/>
      <c r="C10" s="74"/>
      <c r="D10" s="75"/>
      <c r="E10" s="8"/>
      <c r="F10" s="8"/>
      <c r="G10" s="8"/>
      <c r="H10" s="8"/>
      <c r="I10" s="8"/>
      <c r="J10" s="8"/>
      <c r="K10" s="541"/>
      <c r="L10" s="541"/>
      <c r="M10" s="541"/>
      <c r="N10" s="541"/>
      <c r="O10" s="541"/>
      <c r="P10" s="541"/>
      <c r="Q10" s="541"/>
    </row>
    <row r="11" spans="1:17" x14ac:dyDescent="0.25">
      <c r="A11" s="76" t="s">
        <v>122</v>
      </c>
      <c r="B11" s="10"/>
      <c r="C11" s="11"/>
      <c r="D11" s="77">
        <v>7.6499999999999999E-2</v>
      </c>
      <c r="E11" s="8"/>
      <c r="F11" s="8"/>
      <c r="G11" s="8"/>
      <c r="H11" s="8"/>
      <c r="I11" s="8"/>
      <c r="J11" s="8"/>
      <c r="K11" s="541"/>
      <c r="L11" s="541"/>
      <c r="M11" s="541"/>
      <c r="N11" s="541"/>
      <c r="O11" s="541"/>
      <c r="P11" s="541"/>
      <c r="Q11" s="541"/>
    </row>
    <row r="12" spans="1:17" x14ac:dyDescent="0.25">
      <c r="A12" s="76"/>
      <c r="B12" s="10"/>
      <c r="C12" s="11"/>
      <c r="D12" s="78"/>
      <c r="E12" s="8"/>
      <c r="F12" s="8"/>
      <c r="G12" s="8"/>
      <c r="H12" s="8"/>
      <c r="I12" s="8"/>
      <c r="J12" s="8"/>
      <c r="K12" s="541"/>
      <c r="L12" s="541"/>
      <c r="M12" s="541"/>
      <c r="N12" s="541"/>
      <c r="O12" s="541"/>
      <c r="P12" s="541"/>
      <c r="Q12" s="541"/>
    </row>
    <row r="13" spans="1:17" x14ac:dyDescent="0.25">
      <c r="A13" s="76"/>
      <c r="B13" s="10"/>
      <c r="C13" s="11"/>
      <c r="D13" s="78"/>
      <c r="E13" s="8"/>
      <c r="F13" s="8"/>
      <c r="G13" s="8"/>
      <c r="H13" s="8"/>
      <c r="I13" s="8"/>
      <c r="J13" s="8"/>
      <c r="K13" s="541"/>
      <c r="L13" s="541"/>
      <c r="M13" s="541"/>
      <c r="N13" s="541"/>
      <c r="O13" s="541"/>
      <c r="P13" s="541"/>
      <c r="Q13" s="541"/>
    </row>
    <row r="14" spans="1:17" x14ac:dyDescent="0.25">
      <c r="A14" s="76"/>
      <c r="B14" s="10"/>
      <c r="C14" s="11"/>
      <c r="D14" s="78"/>
      <c r="E14" s="8"/>
      <c r="F14" s="8"/>
      <c r="G14" s="8"/>
      <c r="H14" s="8"/>
      <c r="I14" s="8"/>
      <c r="J14" s="8"/>
      <c r="K14" s="541"/>
      <c r="L14" s="541"/>
      <c r="M14" s="541"/>
      <c r="N14" s="541"/>
      <c r="O14" s="541"/>
      <c r="P14" s="541"/>
      <c r="Q14" s="541"/>
    </row>
    <row r="15" spans="1:17" ht="15.75" thickBot="1" x14ac:dyDescent="0.3">
      <c r="A15" s="79"/>
      <c r="B15" s="80"/>
      <c r="C15" s="81"/>
      <c r="D15" s="82"/>
      <c r="E15" s="8"/>
      <c r="F15" s="8"/>
      <c r="G15" s="8"/>
      <c r="H15" s="8"/>
      <c r="I15" s="8"/>
      <c r="J15" s="8"/>
      <c r="K15" s="541"/>
      <c r="L15" s="541"/>
      <c r="M15" s="541"/>
      <c r="N15" s="541"/>
      <c r="O15" s="541"/>
      <c r="P15" s="541"/>
      <c r="Q15" s="541"/>
    </row>
    <row r="16" spans="1:17" ht="15.75" thickTop="1" x14ac:dyDescent="0.25">
      <c r="A16" s="73" t="s">
        <v>134</v>
      </c>
      <c r="B16" s="74"/>
      <c r="C16" s="74"/>
      <c r="D16" s="413"/>
      <c r="E16" s="8"/>
      <c r="F16" s="8"/>
      <c r="G16" s="8"/>
      <c r="H16" s="8"/>
      <c r="I16" s="8"/>
      <c r="J16" s="8"/>
      <c r="K16" s="541"/>
      <c r="L16" s="541"/>
      <c r="M16" s="541"/>
      <c r="N16" s="541"/>
      <c r="O16" s="541"/>
      <c r="P16" s="541"/>
      <c r="Q16" s="541"/>
    </row>
    <row r="17" spans="1:17" ht="15" customHeight="1" x14ac:dyDescent="0.25">
      <c r="A17" s="76" t="s">
        <v>541</v>
      </c>
      <c r="B17" s="10"/>
      <c r="C17" s="11"/>
      <c r="D17" s="526">
        <v>6.8000000000000005E-2</v>
      </c>
      <c r="E17" s="542"/>
      <c r="F17" s="538"/>
      <c r="G17" s="538"/>
      <c r="H17" s="538"/>
      <c r="I17" s="538"/>
      <c r="J17" s="538"/>
      <c r="K17" s="541"/>
      <c r="L17" s="541"/>
      <c r="M17" s="541"/>
      <c r="N17" s="541"/>
      <c r="O17" s="541"/>
      <c r="P17" s="541"/>
      <c r="Q17" s="541"/>
    </row>
    <row r="18" spans="1:17" ht="15" customHeight="1" x14ac:dyDescent="0.25">
      <c r="A18" s="76" t="s">
        <v>538</v>
      </c>
      <c r="B18" s="10"/>
      <c r="C18" s="11"/>
      <c r="D18" s="526">
        <v>7.4999999999999997E-2</v>
      </c>
      <c r="E18" s="542"/>
      <c r="F18" s="538"/>
      <c r="G18" s="538"/>
      <c r="H18" s="538"/>
      <c r="I18" s="538"/>
      <c r="J18" s="538"/>
      <c r="K18" s="541"/>
      <c r="L18" s="541"/>
      <c r="M18" s="541"/>
      <c r="N18" s="541"/>
      <c r="O18" s="541"/>
      <c r="P18" s="541"/>
      <c r="Q18" s="541"/>
    </row>
    <row r="19" spans="1:17" ht="15" customHeight="1" x14ac:dyDescent="0.25">
      <c r="A19" s="76" t="s">
        <v>137</v>
      </c>
      <c r="B19" s="10"/>
      <c r="C19" s="11"/>
      <c r="D19" s="526">
        <v>7.4999999999999997E-2</v>
      </c>
      <c r="E19" s="542"/>
      <c r="F19" s="538"/>
      <c r="G19" s="538"/>
      <c r="H19" s="538"/>
      <c r="I19" s="538"/>
      <c r="J19" s="538"/>
      <c r="K19" s="541"/>
      <c r="L19" s="541"/>
      <c r="M19" s="541"/>
      <c r="N19" s="541"/>
      <c r="O19" s="541"/>
      <c r="P19" s="541"/>
      <c r="Q19" s="541"/>
    </row>
    <row r="20" spans="1:17" x14ac:dyDescent="0.25">
      <c r="A20" s="76" t="s">
        <v>542</v>
      </c>
      <c r="B20" s="10"/>
      <c r="C20" s="11"/>
      <c r="D20" s="526">
        <v>6.6000000000000003E-2</v>
      </c>
      <c r="E20" s="539"/>
      <c r="F20" s="538"/>
      <c r="G20" s="538"/>
      <c r="H20" s="538"/>
      <c r="I20" s="538"/>
      <c r="J20" s="538"/>
      <c r="K20" s="541"/>
      <c r="L20" s="541"/>
      <c r="M20" s="541"/>
      <c r="N20" s="541"/>
      <c r="O20" s="541"/>
      <c r="P20" s="541"/>
      <c r="Q20" s="541"/>
    </row>
    <row r="21" spans="1:17" x14ac:dyDescent="0.25">
      <c r="A21" s="76" t="s">
        <v>539</v>
      </c>
      <c r="B21" s="10"/>
      <c r="C21" s="11"/>
      <c r="D21" s="526">
        <v>6.6000000000000003E-2</v>
      </c>
      <c r="E21" s="539"/>
      <c r="F21" s="538"/>
      <c r="G21" s="538"/>
      <c r="H21" s="538"/>
      <c r="I21" s="538"/>
      <c r="J21" s="538"/>
      <c r="K21" s="541"/>
      <c r="L21" s="541"/>
      <c r="M21" s="541"/>
      <c r="N21" s="541"/>
      <c r="O21" s="541"/>
      <c r="P21" s="541"/>
      <c r="Q21" s="541"/>
    </row>
    <row r="22" spans="1:17" x14ac:dyDescent="0.25">
      <c r="A22" s="76" t="s">
        <v>138</v>
      </c>
      <c r="B22" s="10"/>
      <c r="C22" s="11"/>
      <c r="D22" s="526">
        <v>6.6000000000000003E-2</v>
      </c>
      <c r="E22" s="8"/>
      <c r="F22" s="8"/>
      <c r="G22" s="8"/>
      <c r="H22" s="8"/>
      <c r="I22" s="8"/>
      <c r="J22" s="8"/>
      <c r="K22" s="541"/>
      <c r="L22" s="541"/>
      <c r="M22" s="541"/>
      <c r="N22" s="541"/>
      <c r="O22" s="541"/>
      <c r="P22" s="541"/>
      <c r="Q22" s="541"/>
    </row>
    <row r="23" spans="1:17" x14ac:dyDescent="0.25">
      <c r="A23" s="76" t="s">
        <v>543</v>
      </c>
      <c r="B23" s="10"/>
      <c r="C23" s="11"/>
      <c r="D23" s="526">
        <v>1.9E-2</v>
      </c>
      <c r="E23" s="8"/>
      <c r="F23" s="8"/>
      <c r="G23" s="8"/>
      <c r="H23" s="8"/>
      <c r="I23" s="8"/>
      <c r="J23" s="8"/>
      <c r="K23" s="541"/>
      <c r="L23" s="541"/>
      <c r="M23" s="541"/>
      <c r="N23" s="541"/>
      <c r="O23" s="541"/>
      <c r="P23" s="541"/>
      <c r="Q23" s="541"/>
    </row>
    <row r="24" spans="1:17" x14ac:dyDescent="0.25">
      <c r="A24" s="76" t="s">
        <v>540</v>
      </c>
      <c r="B24" s="10"/>
      <c r="C24" s="11"/>
      <c r="D24" s="526">
        <v>1.9E-2</v>
      </c>
      <c r="E24" s="439"/>
      <c r="F24" s="8"/>
      <c r="G24" s="8"/>
      <c r="H24" s="8"/>
      <c r="I24" s="8"/>
      <c r="J24" s="8"/>
      <c r="K24" s="541"/>
      <c r="L24" s="541"/>
      <c r="M24" s="541"/>
      <c r="N24" s="541"/>
      <c r="O24" s="541"/>
      <c r="P24" s="541"/>
      <c r="Q24" s="541"/>
    </row>
    <row r="25" spans="1:17" x14ac:dyDescent="0.25">
      <c r="A25" s="76" t="s">
        <v>139</v>
      </c>
      <c r="B25" s="10"/>
      <c r="C25" s="11"/>
      <c r="D25" s="526">
        <v>1.9E-2</v>
      </c>
      <c r="E25" s="412"/>
      <c r="F25" s="412"/>
      <c r="G25" s="8"/>
      <c r="H25" s="8"/>
      <c r="I25" s="8"/>
      <c r="J25" s="8"/>
      <c r="K25" s="541"/>
      <c r="L25" s="541"/>
      <c r="M25" s="541"/>
      <c r="N25" s="541"/>
      <c r="O25" s="541"/>
      <c r="P25" s="541"/>
      <c r="Q25" s="541"/>
    </row>
    <row r="26" spans="1:17" ht="15.75" thickBot="1" x14ac:dyDescent="0.3">
      <c r="A26" s="79"/>
      <c r="B26" s="80"/>
      <c r="C26" s="80"/>
      <c r="D26" s="95"/>
      <c r="E26" s="8"/>
      <c r="F26" s="8"/>
      <c r="G26" s="8"/>
      <c r="H26" s="8"/>
      <c r="I26" s="8"/>
      <c r="J26" s="8"/>
      <c r="K26" s="541"/>
      <c r="L26" s="541"/>
      <c r="M26" s="541"/>
      <c r="N26" s="541"/>
      <c r="O26" s="541"/>
      <c r="P26" s="541"/>
      <c r="Q26" s="541"/>
    </row>
    <row r="27" spans="1:17" ht="15.75" thickTop="1" x14ac:dyDescent="0.25">
      <c r="A27" s="73" t="s">
        <v>102</v>
      </c>
      <c r="B27" s="74"/>
      <c r="C27" s="74"/>
      <c r="D27" s="75"/>
      <c r="E27" s="8"/>
      <c r="F27" s="8"/>
      <c r="G27" s="8"/>
      <c r="H27" s="8"/>
      <c r="I27" s="8"/>
      <c r="J27" s="8"/>
      <c r="K27" s="541"/>
      <c r="L27" s="541"/>
      <c r="M27" s="541"/>
      <c r="N27" s="541"/>
      <c r="O27" s="541"/>
      <c r="P27" s="541"/>
      <c r="Q27" s="541"/>
    </row>
    <row r="28" spans="1:17" x14ac:dyDescent="0.25">
      <c r="A28" s="76" t="s">
        <v>119</v>
      </c>
      <c r="B28" s="10"/>
      <c r="C28" s="11"/>
      <c r="D28" s="77">
        <v>0.01</v>
      </c>
      <c r="E28" s="8"/>
      <c r="F28" s="8"/>
      <c r="G28" s="8"/>
      <c r="H28" s="8"/>
      <c r="I28" s="8"/>
      <c r="J28" s="8"/>
      <c r="K28" s="541"/>
      <c r="L28" s="541"/>
      <c r="M28" s="541"/>
      <c r="N28" s="541"/>
      <c r="O28" s="541"/>
      <c r="P28" s="541"/>
      <c r="Q28" s="541"/>
    </row>
    <row r="29" spans="1:17" x14ac:dyDescent="0.25">
      <c r="A29" s="76"/>
      <c r="B29" s="10"/>
      <c r="C29" s="11"/>
      <c r="D29" s="78"/>
      <c r="E29" s="8"/>
      <c r="F29" s="8"/>
      <c r="G29" s="8"/>
      <c r="H29" s="8"/>
      <c r="I29" s="8"/>
      <c r="J29" s="8"/>
      <c r="K29" s="541"/>
      <c r="L29" s="541"/>
      <c r="M29" s="541"/>
      <c r="N29" s="541"/>
      <c r="O29" s="541"/>
      <c r="P29" s="541"/>
      <c r="Q29" s="541"/>
    </row>
    <row r="30" spans="1:17" x14ac:dyDescent="0.25">
      <c r="A30" s="76"/>
      <c r="B30" s="10"/>
      <c r="C30" s="11"/>
      <c r="D30" s="78"/>
      <c r="E30" s="8"/>
      <c r="F30" s="8"/>
      <c r="G30" s="8"/>
      <c r="H30" s="8"/>
      <c r="I30" s="8"/>
      <c r="J30" s="8"/>
      <c r="K30" s="541"/>
      <c r="L30" s="541"/>
      <c r="M30" s="541"/>
      <c r="N30" s="541"/>
      <c r="O30" s="541"/>
      <c r="P30" s="541"/>
      <c r="Q30" s="541"/>
    </row>
    <row r="31" spans="1:17" x14ac:dyDescent="0.25">
      <c r="A31" s="76"/>
      <c r="B31" s="10"/>
      <c r="C31" s="11"/>
      <c r="D31" s="78"/>
      <c r="E31" s="8"/>
      <c r="F31" s="8"/>
      <c r="G31" s="8"/>
      <c r="H31" s="8"/>
      <c r="I31" s="8"/>
      <c r="J31" s="8"/>
      <c r="K31" s="541"/>
      <c r="L31" s="541"/>
      <c r="M31" s="541"/>
      <c r="N31" s="541"/>
      <c r="O31" s="541"/>
      <c r="P31" s="541"/>
      <c r="Q31" s="541"/>
    </row>
    <row r="32" spans="1:17" x14ac:dyDescent="0.25">
      <c r="A32" s="76"/>
      <c r="B32" s="10"/>
      <c r="C32" s="11"/>
      <c r="D32" s="78"/>
      <c r="E32" s="8"/>
      <c r="F32" s="8"/>
      <c r="G32" s="8"/>
      <c r="H32" s="8"/>
      <c r="I32" s="8"/>
      <c r="J32" s="8"/>
      <c r="K32" s="541"/>
      <c r="L32" s="541"/>
      <c r="M32" s="541"/>
      <c r="N32" s="541"/>
      <c r="O32" s="541"/>
      <c r="P32" s="541"/>
      <c r="Q32" s="541"/>
    </row>
    <row r="33" spans="1:17" x14ac:dyDescent="0.25">
      <c r="A33" s="76"/>
      <c r="B33" s="10"/>
      <c r="C33" s="11"/>
      <c r="D33" s="78"/>
      <c r="E33" s="8"/>
      <c r="F33" s="8"/>
      <c r="G33" s="8"/>
      <c r="H33" s="8"/>
      <c r="I33" s="8"/>
      <c r="J33" s="8"/>
      <c r="K33" s="541"/>
      <c r="L33" s="541"/>
      <c r="M33" s="541"/>
      <c r="N33" s="541"/>
      <c r="O33" s="541"/>
      <c r="P33" s="541"/>
      <c r="Q33" s="541"/>
    </row>
    <row r="34" spans="1:17" ht="15.75" thickBot="1" x14ac:dyDescent="0.3">
      <c r="A34" s="79"/>
      <c r="B34" s="80"/>
      <c r="C34" s="81"/>
      <c r="D34" s="82"/>
      <c r="E34" s="8"/>
      <c r="F34" s="8"/>
      <c r="G34" s="8"/>
      <c r="H34" s="8"/>
      <c r="I34" s="8"/>
      <c r="J34" s="8"/>
      <c r="K34" s="541"/>
      <c r="L34" s="541"/>
      <c r="M34" s="541"/>
      <c r="N34" s="541"/>
      <c r="O34" s="541"/>
      <c r="P34" s="541"/>
      <c r="Q34" s="541"/>
    </row>
    <row r="35" spans="1:17" ht="15.75" thickTop="1" x14ac:dyDescent="0.25">
      <c r="A35" s="73" t="s">
        <v>306</v>
      </c>
      <c r="B35" s="74"/>
      <c r="C35" s="74"/>
      <c r="D35" s="75"/>
      <c r="E35" s="537" t="s">
        <v>355</v>
      </c>
      <c r="F35" s="538"/>
      <c r="G35" s="538"/>
      <c r="H35" s="538"/>
      <c r="I35" s="538"/>
      <c r="J35" s="538"/>
      <c r="K35" s="541"/>
      <c r="L35" s="541"/>
      <c r="M35" s="541"/>
      <c r="N35" s="541"/>
      <c r="O35" s="541"/>
      <c r="P35" s="541"/>
      <c r="Q35" s="541"/>
    </row>
    <row r="36" spans="1:17" x14ac:dyDescent="0.25">
      <c r="A36" s="76"/>
      <c r="B36" s="10"/>
      <c r="C36" s="11"/>
      <c r="D36" s="77"/>
      <c r="E36" s="539"/>
      <c r="F36" s="538"/>
      <c r="G36" s="538"/>
      <c r="H36" s="538"/>
      <c r="I36" s="538"/>
      <c r="J36" s="538"/>
      <c r="K36" s="541"/>
      <c r="L36" s="541"/>
      <c r="M36" s="541"/>
      <c r="N36" s="541"/>
      <c r="O36" s="541"/>
      <c r="P36" s="541"/>
      <c r="Q36" s="541"/>
    </row>
    <row r="37" spans="1:17" x14ac:dyDescent="0.25">
      <c r="A37" s="76"/>
      <c r="B37" s="10"/>
      <c r="C37" s="11"/>
      <c r="D37" s="78"/>
      <c r="E37" s="539"/>
      <c r="F37" s="538"/>
      <c r="G37" s="538"/>
      <c r="H37" s="538"/>
      <c r="I37" s="538"/>
      <c r="J37" s="538"/>
      <c r="K37" s="541"/>
      <c r="L37" s="541"/>
      <c r="M37" s="541"/>
      <c r="N37" s="541"/>
      <c r="O37" s="541"/>
      <c r="P37" s="541"/>
      <c r="Q37" s="541"/>
    </row>
    <row r="38" spans="1:17" x14ac:dyDescent="0.25">
      <c r="A38" s="76"/>
      <c r="B38" s="10"/>
      <c r="C38" s="11"/>
      <c r="D38" s="78"/>
      <c r="E38" s="8"/>
      <c r="F38" s="8"/>
      <c r="G38" s="8"/>
      <c r="H38" s="8"/>
      <c r="I38" s="8"/>
      <c r="J38" s="8"/>
      <c r="K38" s="541"/>
      <c r="L38" s="541"/>
      <c r="M38" s="541"/>
      <c r="N38" s="541"/>
      <c r="O38" s="541"/>
      <c r="P38" s="541"/>
      <c r="Q38" s="541"/>
    </row>
    <row r="39" spans="1:17" x14ac:dyDescent="0.25">
      <c r="A39" s="76"/>
      <c r="B39" s="10"/>
      <c r="C39" s="11"/>
      <c r="D39" s="78"/>
      <c r="E39" s="8"/>
      <c r="F39" s="8"/>
      <c r="G39" s="8"/>
      <c r="H39" s="8"/>
      <c r="I39" s="8"/>
      <c r="J39" s="8"/>
      <c r="K39" s="541"/>
      <c r="L39" s="541"/>
      <c r="M39" s="541"/>
      <c r="N39" s="541"/>
      <c r="O39" s="541"/>
      <c r="P39" s="541"/>
      <c r="Q39" s="541"/>
    </row>
    <row r="40" spans="1:17" x14ac:dyDescent="0.25">
      <c r="A40" s="76"/>
      <c r="B40" s="10"/>
      <c r="C40" s="11"/>
      <c r="D40" s="78"/>
      <c r="E40" s="8"/>
      <c r="F40" s="8"/>
      <c r="G40" s="8"/>
      <c r="H40" s="8"/>
      <c r="I40" s="8"/>
      <c r="J40" s="8"/>
      <c r="K40" s="541"/>
      <c r="L40" s="541"/>
      <c r="M40" s="541"/>
      <c r="N40" s="541"/>
      <c r="O40" s="541"/>
      <c r="P40" s="541"/>
      <c r="Q40" s="541"/>
    </row>
    <row r="41" spans="1:17" x14ac:dyDescent="0.25">
      <c r="A41" s="76"/>
      <c r="B41" s="10"/>
      <c r="C41" s="11"/>
      <c r="D41" s="78"/>
      <c r="E41" s="8"/>
      <c r="F41" s="8"/>
      <c r="G41" s="8"/>
      <c r="H41" s="8"/>
      <c r="I41" s="8"/>
      <c r="J41" s="8"/>
      <c r="K41" s="541"/>
      <c r="L41" s="541"/>
      <c r="M41" s="541"/>
      <c r="N41" s="541"/>
      <c r="O41" s="541"/>
      <c r="P41" s="541"/>
      <c r="Q41" s="541"/>
    </row>
    <row r="42" spans="1:17" ht="15.75" thickBot="1" x14ac:dyDescent="0.3">
      <c r="A42" s="79"/>
      <c r="B42" s="80"/>
      <c r="C42" s="81"/>
      <c r="D42" s="82"/>
      <c r="E42" s="8"/>
      <c r="F42" s="8"/>
      <c r="G42" s="8"/>
      <c r="H42" s="8"/>
      <c r="I42" s="8"/>
      <c r="J42" s="8"/>
      <c r="K42" s="541"/>
      <c r="L42" s="541"/>
      <c r="M42" s="541"/>
      <c r="N42" s="541"/>
      <c r="O42" s="541"/>
      <c r="P42" s="541"/>
      <c r="Q42" s="541"/>
    </row>
    <row r="43" spans="1:17" ht="15.75" thickTop="1" x14ac:dyDescent="0.25">
      <c r="A43" s="73" t="s">
        <v>103</v>
      </c>
      <c r="B43" s="74"/>
      <c r="C43" s="74"/>
      <c r="D43" s="75"/>
      <c r="E43" s="8" t="s">
        <v>354</v>
      </c>
      <c r="F43" s="8"/>
      <c r="G43" s="8"/>
      <c r="H43" s="8"/>
      <c r="I43" s="8"/>
      <c r="J43" s="8"/>
      <c r="K43" s="541"/>
      <c r="L43" s="541"/>
      <c r="M43" s="541"/>
      <c r="N43" s="541"/>
      <c r="O43" s="541"/>
      <c r="P43" s="541"/>
      <c r="Q43" s="541"/>
    </row>
    <row r="44" spans="1:17" x14ac:dyDescent="0.25">
      <c r="A44" s="76"/>
      <c r="B44" s="10"/>
      <c r="C44" s="11"/>
      <c r="D44" s="77"/>
      <c r="E44" s="8"/>
      <c r="F44" s="8"/>
      <c r="G44" s="8"/>
      <c r="H44" s="8"/>
      <c r="I44" s="8"/>
      <c r="J44" s="8"/>
      <c r="K44" s="541"/>
      <c r="L44" s="541"/>
      <c r="M44" s="541"/>
      <c r="N44" s="541"/>
      <c r="O44" s="541"/>
      <c r="P44" s="541"/>
      <c r="Q44" s="541"/>
    </row>
    <row r="45" spans="1:17" x14ac:dyDescent="0.25">
      <c r="A45" s="76"/>
      <c r="B45" s="10"/>
      <c r="C45" s="11"/>
      <c r="D45" s="78"/>
      <c r="E45" s="8"/>
      <c r="F45" s="8"/>
      <c r="G45" s="8"/>
      <c r="H45" s="8"/>
      <c r="I45" s="8"/>
      <c r="J45" s="8"/>
      <c r="K45" s="541"/>
      <c r="L45" s="541"/>
      <c r="M45" s="541"/>
      <c r="N45" s="541"/>
      <c r="O45" s="541"/>
      <c r="P45" s="541"/>
      <c r="Q45" s="541"/>
    </row>
    <row r="46" spans="1:17" x14ac:dyDescent="0.25">
      <c r="A46" s="76"/>
      <c r="B46" s="10"/>
      <c r="C46" s="11"/>
      <c r="D46" s="78"/>
      <c r="E46" s="8"/>
      <c r="F46" s="8"/>
      <c r="G46" s="8"/>
      <c r="H46" s="8"/>
      <c r="I46" s="8"/>
      <c r="J46" s="8"/>
      <c r="K46" s="541"/>
      <c r="L46" s="541"/>
      <c r="M46" s="541"/>
      <c r="N46" s="541"/>
      <c r="O46" s="541"/>
      <c r="P46" s="541"/>
      <c r="Q46" s="541"/>
    </row>
    <row r="47" spans="1:17" x14ac:dyDescent="0.25">
      <c r="A47" s="76"/>
      <c r="B47" s="10"/>
      <c r="C47" s="11"/>
      <c r="D47" s="78"/>
      <c r="E47" s="8"/>
      <c r="F47" s="8"/>
      <c r="G47" s="8"/>
      <c r="H47" s="8"/>
      <c r="I47" s="8"/>
      <c r="J47" s="8"/>
      <c r="K47" s="541"/>
      <c r="L47" s="541"/>
      <c r="M47" s="541"/>
      <c r="N47" s="541"/>
      <c r="O47" s="541"/>
      <c r="P47" s="541"/>
      <c r="Q47" s="541"/>
    </row>
    <row r="48" spans="1:17" x14ac:dyDescent="0.25">
      <c r="A48" s="76"/>
      <c r="B48" s="10"/>
      <c r="C48" s="11"/>
      <c r="D48" s="78"/>
      <c r="E48" s="8"/>
      <c r="F48" s="8"/>
      <c r="G48" s="8"/>
      <c r="H48" s="8"/>
      <c r="I48" s="8"/>
      <c r="J48" s="8"/>
      <c r="K48" s="541"/>
      <c r="L48" s="541"/>
      <c r="M48" s="541"/>
      <c r="N48" s="541"/>
      <c r="O48" s="541"/>
      <c r="P48" s="541"/>
      <c r="Q48" s="541"/>
    </row>
    <row r="49" spans="1:17" x14ac:dyDescent="0.25">
      <c r="A49" s="76"/>
      <c r="B49" s="10"/>
      <c r="C49" s="11"/>
      <c r="D49" s="78"/>
      <c r="E49" s="8"/>
      <c r="F49" s="8"/>
      <c r="G49" s="8"/>
      <c r="H49" s="8"/>
      <c r="I49" s="8"/>
      <c r="J49" s="8"/>
      <c r="K49" s="541"/>
      <c r="L49" s="541"/>
      <c r="M49" s="541"/>
      <c r="N49" s="541"/>
      <c r="O49" s="541"/>
      <c r="P49" s="541"/>
      <c r="Q49" s="541"/>
    </row>
    <row r="50" spans="1:17" ht="15.75" thickBot="1" x14ac:dyDescent="0.3">
      <c r="A50" s="79"/>
      <c r="B50" s="80"/>
      <c r="C50" s="81"/>
      <c r="D50" s="82"/>
      <c r="E50" s="8"/>
      <c r="F50" s="8"/>
      <c r="G50" s="8"/>
      <c r="H50" s="8"/>
      <c r="I50" s="8"/>
      <c r="J50" s="8"/>
      <c r="K50" s="541"/>
      <c r="L50" s="541"/>
      <c r="M50" s="541"/>
      <c r="N50" s="541"/>
      <c r="O50" s="541"/>
      <c r="P50" s="541"/>
      <c r="Q50" s="541"/>
    </row>
    <row r="51" spans="1:17" ht="15.75" thickTop="1" x14ac:dyDescent="0.25"/>
  </sheetData>
  <mergeCells count="4">
    <mergeCell ref="E2:J9"/>
    <mergeCell ref="K1:Q50"/>
    <mergeCell ref="E35:J37"/>
    <mergeCell ref="E17:J2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R43"/>
  <sheetViews>
    <sheetView topLeftCell="A7" workbookViewId="0">
      <selection activeCell="A18" sqref="A18:R25"/>
    </sheetView>
  </sheetViews>
  <sheetFormatPr defaultRowHeight="15" x14ac:dyDescent="0.25"/>
  <cols>
    <col min="1" max="1" width="30.7109375" bestFit="1" customWidth="1"/>
    <col min="18" max="18" width="60.28515625" customWidth="1"/>
  </cols>
  <sheetData>
    <row r="1" spans="1:18" ht="49.5" customHeight="1" x14ac:dyDescent="0.25">
      <c r="A1" s="686" t="s">
        <v>89</v>
      </c>
      <c r="B1" s="687"/>
      <c r="C1" s="687"/>
      <c r="D1" s="687"/>
      <c r="E1" s="687"/>
      <c r="F1" s="687"/>
      <c r="G1" s="687"/>
      <c r="H1" s="687"/>
      <c r="I1" s="687"/>
      <c r="J1" s="687"/>
      <c r="K1" s="687"/>
      <c r="L1" s="687"/>
      <c r="M1" s="687"/>
      <c r="N1" s="687"/>
      <c r="O1" s="687"/>
      <c r="P1" s="687"/>
      <c r="Q1" s="687"/>
      <c r="R1" s="688"/>
    </row>
    <row r="2" spans="1:18" x14ac:dyDescent="0.25">
      <c r="A2" s="5" t="s">
        <v>90</v>
      </c>
      <c r="B2" s="692" t="s">
        <v>99</v>
      </c>
      <c r="C2" s="693"/>
      <c r="D2" s="693"/>
      <c r="E2" s="693"/>
      <c r="F2" s="693"/>
      <c r="G2" s="693"/>
      <c r="H2" s="693"/>
      <c r="I2" s="693"/>
      <c r="J2" s="693"/>
      <c r="K2" s="693"/>
      <c r="L2" s="693"/>
      <c r="M2" s="693"/>
      <c r="N2" s="693"/>
      <c r="O2" s="693"/>
      <c r="P2" s="693"/>
      <c r="Q2" s="693"/>
      <c r="R2" s="694"/>
    </row>
    <row r="3" spans="1:18" x14ac:dyDescent="0.25">
      <c r="A3" s="4"/>
      <c r="B3" s="748" t="s">
        <v>532</v>
      </c>
      <c r="C3" s="749"/>
      <c r="D3" s="749"/>
      <c r="E3" s="749"/>
      <c r="F3" s="749"/>
      <c r="G3" s="749"/>
      <c r="H3" s="749"/>
      <c r="I3" s="749"/>
      <c r="J3" s="749"/>
      <c r="K3" s="749"/>
      <c r="L3" s="749"/>
      <c r="M3" s="749"/>
      <c r="N3" s="749"/>
      <c r="O3" s="749"/>
      <c r="P3" s="749"/>
      <c r="Q3" s="749"/>
      <c r="R3" s="750"/>
    </row>
    <row r="4" spans="1:18" x14ac:dyDescent="0.25">
      <c r="A4" s="4"/>
      <c r="B4" s="748" t="s">
        <v>533</v>
      </c>
      <c r="C4" s="749"/>
      <c r="D4" s="749"/>
      <c r="E4" s="749"/>
      <c r="F4" s="749"/>
      <c r="G4" s="749"/>
      <c r="H4" s="749"/>
      <c r="I4" s="749"/>
      <c r="J4" s="749"/>
      <c r="K4" s="749"/>
      <c r="L4" s="749"/>
      <c r="M4" s="749"/>
      <c r="N4" s="749"/>
      <c r="O4" s="749"/>
      <c r="P4" s="749"/>
      <c r="Q4" s="749"/>
      <c r="R4" s="750"/>
    </row>
    <row r="5" spans="1:18" x14ac:dyDescent="0.25">
      <c r="A5" s="4"/>
      <c r="B5" s="748" t="s">
        <v>353</v>
      </c>
      <c r="C5" s="749"/>
      <c r="D5" s="749"/>
      <c r="E5" s="749"/>
      <c r="F5" s="749"/>
      <c r="G5" s="749"/>
      <c r="H5" s="749"/>
      <c r="I5" s="749"/>
      <c r="J5" s="749"/>
      <c r="K5" s="749"/>
      <c r="L5" s="749"/>
      <c r="M5" s="749"/>
      <c r="N5" s="749"/>
      <c r="O5" s="749"/>
      <c r="P5" s="749"/>
      <c r="Q5" s="749"/>
      <c r="R5" s="750"/>
    </row>
    <row r="6" spans="1:18" x14ac:dyDescent="0.25">
      <c r="A6" s="4"/>
      <c r="B6" s="765" t="s">
        <v>98</v>
      </c>
      <c r="C6" s="766"/>
      <c r="D6" s="766"/>
      <c r="E6" s="766"/>
      <c r="F6" s="766"/>
      <c r="G6" s="766"/>
      <c r="H6" s="766"/>
      <c r="I6" s="766"/>
      <c r="J6" s="766"/>
      <c r="K6" s="766"/>
      <c r="L6" s="766"/>
      <c r="M6" s="766"/>
      <c r="N6" s="766"/>
      <c r="O6" s="766"/>
      <c r="P6" s="766"/>
      <c r="Q6" s="766"/>
      <c r="R6" s="767"/>
    </row>
    <row r="7" spans="1:18" ht="15.75" thickBot="1" x14ac:dyDescent="0.3">
      <c r="A7" s="4"/>
      <c r="B7" s="748"/>
      <c r="C7" s="749"/>
      <c r="D7" s="749"/>
      <c r="E7" s="749"/>
      <c r="F7" s="749"/>
      <c r="G7" s="749"/>
      <c r="H7" s="749"/>
      <c r="I7" s="749"/>
      <c r="J7" s="749"/>
      <c r="K7" s="749"/>
      <c r="L7" s="749"/>
      <c r="M7" s="749"/>
      <c r="N7" s="749"/>
      <c r="O7" s="749"/>
      <c r="P7" s="749"/>
      <c r="Q7" s="749"/>
      <c r="R7" s="750"/>
    </row>
    <row r="8" spans="1:18" ht="15.75" customHeight="1" thickBot="1" x14ac:dyDescent="0.3">
      <c r="A8" s="704" t="s">
        <v>403</v>
      </c>
      <c r="B8" s="705"/>
      <c r="C8" s="705"/>
      <c r="D8" s="705"/>
      <c r="E8" s="705"/>
      <c r="F8" s="705"/>
      <c r="G8" s="705"/>
      <c r="H8" s="705"/>
      <c r="I8" s="705"/>
      <c r="J8" s="705"/>
      <c r="K8" s="705"/>
      <c r="L8" s="705"/>
      <c r="M8" s="705"/>
      <c r="N8" s="705"/>
      <c r="O8" s="705"/>
      <c r="P8" s="705"/>
      <c r="Q8" s="705"/>
      <c r="R8" s="706"/>
    </row>
    <row r="9" spans="1:18" x14ac:dyDescent="0.25">
      <c r="A9" s="756" t="s">
        <v>405</v>
      </c>
      <c r="B9" s="757"/>
      <c r="C9" s="757"/>
      <c r="D9" s="757"/>
      <c r="E9" s="757"/>
      <c r="F9" s="757"/>
      <c r="G9" s="757"/>
      <c r="H9" s="757"/>
      <c r="I9" s="757"/>
      <c r="J9" s="757"/>
      <c r="K9" s="757"/>
      <c r="L9" s="757"/>
      <c r="M9" s="757"/>
      <c r="N9" s="757"/>
      <c r="O9" s="757"/>
      <c r="P9" s="757"/>
      <c r="Q9" s="757"/>
      <c r="R9" s="758"/>
    </row>
    <row r="10" spans="1:18" x14ac:dyDescent="0.25">
      <c r="A10" s="759"/>
      <c r="B10" s="760"/>
      <c r="C10" s="760"/>
      <c r="D10" s="760"/>
      <c r="E10" s="760"/>
      <c r="F10" s="760"/>
      <c r="G10" s="760"/>
      <c r="H10" s="760"/>
      <c r="I10" s="760"/>
      <c r="J10" s="760"/>
      <c r="K10" s="760"/>
      <c r="L10" s="760"/>
      <c r="M10" s="760"/>
      <c r="N10" s="760"/>
      <c r="O10" s="760"/>
      <c r="P10" s="760"/>
      <c r="Q10" s="760"/>
      <c r="R10" s="761"/>
    </row>
    <row r="11" spans="1:18" x14ac:dyDescent="0.25">
      <c r="A11" s="759"/>
      <c r="B11" s="760"/>
      <c r="C11" s="760"/>
      <c r="D11" s="760"/>
      <c r="E11" s="760"/>
      <c r="F11" s="760"/>
      <c r="G11" s="760"/>
      <c r="H11" s="760"/>
      <c r="I11" s="760"/>
      <c r="J11" s="760"/>
      <c r="K11" s="760"/>
      <c r="L11" s="760"/>
      <c r="M11" s="760"/>
      <c r="N11" s="760"/>
      <c r="O11" s="760"/>
      <c r="P11" s="760"/>
      <c r="Q11" s="760"/>
      <c r="R11" s="761"/>
    </row>
    <row r="12" spans="1:18" x14ac:dyDescent="0.25">
      <c r="A12" s="759"/>
      <c r="B12" s="760"/>
      <c r="C12" s="760"/>
      <c r="D12" s="760"/>
      <c r="E12" s="760"/>
      <c r="F12" s="760"/>
      <c r="G12" s="760"/>
      <c r="H12" s="760"/>
      <c r="I12" s="760"/>
      <c r="J12" s="760"/>
      <c r="K12" s="760"/>
      <c r="L12" s="760"/>
      <c r="M12" s="760"/>
      <c r="N12" s="760"/>
      <c r="O12" s="760"/>
      <c r="P12" s="760"/>
      <c r="Q12" s="760"/>
      <c r="R12" s="761"/>
    </row>
    <row r="13" spans="1:18" x14ac:dyDescent="0.25">
      <c r="A13" s="759"/>
      <c r="B13" s="760"/>
      <c r="C13" s="760"/>
      <c r="D13" s="760"/>
      <c r="E13" s="760"/>
      <c r="F13" s="760"/>
      <c r="G13" s="760"/>
      <c r="H13" s="760"/>
      <c r="I13" s="760"/>
      <c r="J13" s="760"/>
      <c r="K13" s="760"/>
      <c r="L13" s="760"/>
      <c r="M13" s="760"/>
      <c r="N13" s="760"/>
      <c r="O13" s="760"/>
      <c r="P13" s="760"/>
      <c r="Q13" s="760"/>
      <c r="R13" s="761"/>
    </row>
    <row r="14" spans="1:18" x14ac:dyDescent="0.25">
      <c r="A14" s="759"/>
      <c r="B14" s="760"/>
      <c r="C14" s="760"/>
      <c r="D14" s="760"/>
      <c r="E14" s="760"/>
      <c r="F14" s="760"/>
      <c r="G14" s="760"/>
      <c r="H14" s="760"/>
      <c r="I14" s="760"/>
      <c r="J14" s="760"/>
      <c r="K14" s="760"/>
      <c r="L14" s="760"/>
      <c r="M14" s="760"/>
      <c r="N14" s="760"/>
      <c r="O14" s="760"/>
      <c r="P14" s="760"/>
      <c r="Q14" s="760"/>
      <c r="R14" s="761"/>
    </row>
    <row r="15" spans="1:18" x14ac:dyDescent="0.25">
      <c r="A15" s="759"/>
      <c r="B15" s="760"/>
      <c r="C15" s="760"/>
      <c r="D15" s="760"/>
      <c r="E15" s="760"/>
      <c r="F15" s="760"/>
      <c r="G15" s="760"/>
      <c r="H15" s="760"/>
      <c r="I15" s="760"/>
      <c r="J15" s="760"/>
      <c r="K15" s="760"/>
      <c r="L15" s="760"/>
      <c r="M15" s="760"/>
      <c r="N15" s="760"/>
      <c r="O15" s="760"/>
      <c r="P15" s="760"/>
      <c r="Q15" s="760"/>
      <c r="R15" s="761"/>
    </row>
    <row r="16" spans="1:18" ht="98.25" customHeight="1" thickBot="1" x14ac:dyDescent="0.3">
      <c r="A16" s="762"/>
      <c r="B16" s="763"/>
      <c r="C16" s="763"/>
      <c r="D16" s="763"/>
      <c r="E16" s="763"/>
      <c r="F16" s="763"/>
      <c r="G16" s="763"/>
      <c r="H16" s="763"/>
      <c r="I16" s="763"/>
      <c r="J16" s="763"/>
      <c r="K16" s="763"/>
      <c r="L16" s="763"/>
      <c r="M16" s="763"/>
      <c r="N16" s="763"/>
      <c r="O16" s="763"/>
      <c r="P16" s="763"/>
      <c r="Q16" s="763"/>
      <c r="R16" s="764"/>
    </row>
    <row r="17" spans="1:18" ht="15.75" thickBot="1" x14ac:dyDescent="0.3">
      <c r="A17" s="704" t="s">
        <v>88</v>
      </c>
      <c r="B17" s="705"/>
      <c r="C17" s="705"/>
      <c r="D17" s="705"/>
      <c r="E17" s="705"/>
      <c r="F17" s="705"/>
      <c r="G17" s="705"/>
      <c r="H17" s="705"/>
      <c r="I17" s="705"/>
      <c r="J17" s="705"/>
      <c r="K17" s="705"/>
      <c r="L17" s="705"/>
      <c r="M17" s="705"/>
      <c r="N17" s="705"/>
      <c r="O17" s="705"/>
      <c r="P17" s="705"/>
      <c r="Q17" s="705"/>
      <c r="R17" s="706"/>
    </row>
    <row r="18" spans="1:18" x14ac:dyDescent="0.25">
      <c r="A18" s="756" t="s">
        <v>535</v>
      </c>
      <c r="B18" s="757"/>
      <c r="C18" s="757"/>
      <c r="D18" s="757"/>
      <c r="E18" s="757"/>
      <c r="F18" s="757"/>
      <c r="G18" s="757"/>
      <c r="H18" s="757"/>
      <c r="I18" s="757"/>
      <c r="J18" s="757"/>
      <c r="K18" s="757"/>
      <c r="L18" s="757"/>
      <c r="M18" s="757"/>
      <c r="N18" s="757"/>
      <c r="O18" s="757"/>
      <c r="P18" s="757"/>
      <c r="Q18" s="757"/>
      <c r="R18" s="758"/>
    </row>
    <row r="19" spans="1:18" x14ac:dyDescent="0.25">
      <c r="A19" s="759"/>
      <c r="B19" s="760"/>
      <c r="C19" s="760"/>
      <c r="D19" s="760"/>
      <c r="E19" s="760"/>
      <c r="F19" s="760"/>
      <c r="G19" s="760"/>
      <c r="H19" s="760"/>
      <c r="I19" s="760"/>
      <c r="J19" s="760"/>
      <c r="K19" s="760"/>
      <c r="L19" s="760"/>
      <c r="M19" s="760"/>
      <c r="N19" s="760"/>
      <c r="O19" s="760"/>
      <c r="P19" s="760"/>
      <c r="Q19" s="760"/>
      <c r="R19" s="761"/>
    </row>
    <row r="20" spans="1:18" x14ac:dyDescent="0.25">
      <c r="A20" s="759"/>
      <c r="B20" s="760"/>
      <c r="C20" s="760"/>
      <c r="D20" s="760"/>
      <c r="E20" s="760"/>
      <c r="F20" s="760"/>
      <c r="G20" s="760"/>
      <c r="H20" s="760"/>
      <c r="I20" s="760"/>
      <c r="J20" s="760"/>
      <c r="K20" s="760"/>
      <c r="L20" s="760"/>
      <c r="M20" s="760"/>
      <c r="N20" s="760"/>
      <c r="O20" s="760"/>
      <c r="P20" s="760"/>
      <c r="Q20" s="760"/>
      <c r="R20" s="761"/>
    </row>
    <row r="21" spans="1:18" x14ac:dyDescent="0.25">
      <c r="A21" s="759"/>
      <c r="B21" s="760"/>
      <c r="C21" s="760"/>
      <c r="D21" s="760"/>
      <c r="E21" s="760"/>
      <c r="F21" s="760"/>
      <c r="G21" s="760"/>
      <c r="H21" s="760"/>
      <c r="I21" s="760"/>
      <c r="J21" s="760"/>
      <c r="K21" s="760"/>
      <c r="L21" s="760"/>
      <c r="M21" s="760"/>
      <c r="N21" s="760"/>
      <c r="O21" s="760"/>
      <c r="P21" s="760"/>
      <c r="Q21" s="760"/>
      <c r="R21" s="761"/>
    </row>
    <row r="22" spans="1:18" x14ac:dyDescent="0.25">
      <c r="A22" s="759"/>
      <c r="B22" s="760"/>
      <c r="C22" s="760"/>
      <c r="D22" s="760"/>
      <c r="E22" s="760"/>
      <c r="F22" s="760"/>
      <c r="G22" s="760"/>
      <c r="H22" s="760"/>
      <c r="I22" s="760"/>
      <c r="J22" s="760"/>
      <c r="K22" s="760"/>
      <c r="L22" s="760"/>
      <c r="M22" s="760"/>
      <c r="N22" s="760"/>
      <c r="O22" s="760"/>
      <c r="P22" s="760"/>
      <c r="Q22" s="760"/>
      <c r="R22" s="761"/>
    </row>
    <row r="23" spans="1:18" x14ac:dyDescent="0.25">
      <c r="A23" s="759"/>
      <c r="B23" s="760"/>
      <c r="C23" s="760"/>
      <c r="D23" s="760"/>
      <c r="E23" s="760"/>
      <c r="F23" s="760"/>
      <c r="G23" s="760"/>
      <c r="H23" s="760"/>
      <c r="I23" s="760"/>
      <c r="J23" s="760"/>
      <c r="K23" s="760"/>
      <c r="L23" s="760"/>
      <c r="M23" s="760"/>
      <c r="N23" s="760"/>
      <c r="O23" s="760"/>
      <c r="P23" s="760"/>
      <c r="Q23" s="760"/>
      <c r="R23" s="761"/>
    </row>
    <row r="24" spans="1:18" x14ac:dyDescent="0.25">
      <c r="A24" s="759"/>
      <c r="B24" s="760"/>
      <c r="C24" s="760"/>
      <c r="D24" s="760"/>
      <c r="E24" s="760"/>
      <c r="F24" s="760"/>
      <c r="G24" s="760"/>
      <c r="H24" s="760"/>
      <c r="I24" s="760"/>
      <c r="J24" s="760"/>
      <c r="K24" s="760"/>
      <c r="L24" s="760"/>
      <c r="M24" s="760"/>
      <c r="N24" s="760"/>
      <c r="O24" s="760"/>
      <c r="P24" s="760"/>
      <c r="Q24" s="760"/>
      <c r="R24" s="761"/>
    </row>
    <row r="25" spans="1:18" ht="15.75" thickBot="1" x14ac:dyDescent="0.3">
      <c r="A25" s="762"/>
      <c r="B25" s="763"/>
      <c r="C25" s="763"/>
      <c r="D25" s="763"/>
      <c r="E25" s="763"/>
      <c r="F25" s="763"/>
      <c r="G25" s="763"/>
      <c r="H25" s="763"/>
      <c r="I25" s="763"/>
      <c r="J25" s="763"/>
      <c r="K25" s="763"/>
      <c r="L25" s="763"/>
      <c r="M25" s="763"/>
      <c r="N25" s="763"/>
      <c r="O25" s="763"/>
      <c r="P25" s="763"/>
      <c r="Q25" s="763"/>
      <c r="R25" s="764"/>
    </row>
    <row r="26" spans="1:18" ht="15.75" thickBot="1" x14ac:dyDescent="0.3">
      <c r="A26" s="704" t="s">
        <v>100</v>
      </c>
      <c r="B26" s="705"/>
      <c r="C26" s="705"/>
      <c r="D26" s="705"/>
      <c r="E26" s="705"/>
      <c r="F26" s="705"/>
      <c r="G26" s="705"/>
      <c r="H26" s="705"/>
      <c r="I26" s="705"/>
      <c r="J26" s="705"/>
      <c r="K26" s="705"/>
      <c r="L26" s="705"/>
      <c r="M26" s="705"/>
      <c r="N26" s="705"/>
      <c r="O26" s="705"/>
      <c r="P26" s="705"/>
      <c r="Q26" s="705"/>
      <c r="R26" s="706"/>
    </row>
    <row r="27" spans="1:18" ht="15" customHeight="1" x14ac:dyDescent="0.25">
      <c r="A27" s="695" t="s">
        <v>309</v>
      </c>
      <c r="B27" s="696"/>
      <c r="C27" s="696"/>
      <c r="D27" s="696"/>
      <c r="E27" s="696"/>
      <c r="F27" s="696"/>
      <c r="G27" s="696"/>
      <c r="H27" s="696"/>
      <c r="I27" s="696"/>
      <c r="J27" s="696"/>
      <c r="K27" s="696"/>
      <c r="L27" s="696"/>
      <c r="M27" s="696"/>
      <c r="N27" s="696"/>
      <c r="O27" s="696"/>
      <c r="P27" s="696"/>
      <c r="Q27" s="696"/>
      <c r="R27" s="697"/>
    </row>
    <row r="28" spans="1:18" x14ac:dyDescent="0.25">
      <c r="A28" s="698"/>
      <c r="B28" s="699"/>
      <c r="C28" s="699"/>
      <c r="D28" s="699"/>
      <c r="E28" s="699"/>
      <c r="F28" s="699"/>
      <c r="G28" s="699"/>
      <c r="H28" s="699"/>
      <c r="I28" s="699"/>
      <c r="J28" s="699"/>
      <c r="K28" s="699"/>
      <c r="L28" s="699"/>
      <c r="M28" s="699"/>
      <c r="N28" s="699"/>
      <c r="O28" s="699"/>
      <c r="P28" s="699"/>
      <c r="Q28" s="699"/>
      <c r="R28" s="700"/>
    </row>
    <row r="29" spans="1:18" x14ac:dyDescent="0.25">
      <c r="A29" s="698"/>
      <c r="B29" s="699"/>
      <c r="C29" s="699"/>
      <c r="D29" s="699"/>
      <c r="E29" s="699"/>
      <c r="F29" s="699"/>
      <c r="G29" s="699"/>
      <c r="H29" s="699"/>
      <c r="I29" s="699"/>
      <c r="J29" s="699"/>
      <c r="K29" s="699"/>
      <c r="L29" s="699"/>
      <c r="M29" s="699"/>
      <c r="N29" s="699"/>
      <c r="O29" s="699"/>
      <c r="P29" s="699"/>
      <c r="Q29" s="699"/>
      <c r="R29" s="700"/>
    </row>
    <row r="30" spans="1:18" x14ac:dyDescent="0.25">
      <c r="A30" s="698"/>
      <c r="B30" s="699"/>
      <c r="C30" s="699"/>
      <c r="D30" s="699"/>
      <c r="E30" s="699"/>
      <c r="F30" s="699"/>
      <c r="G30" s="699"/>
      <c r="H30" s="699"/>
      <c r="I30" s="699"/>
      <c r="J30" s="699"/>
      <c r="K30" s="699"/>
      <c r="L30" s="699"/>
      <c r="M30" s="699"/>
      <c r="N30" s="699"/>
      <c r="O30" s="699"/>
      <c r="P30" s="699"/>
      <c r="Q30" s="699"/>
      <c r="R30" s="700"/>
    </row>
    <row r="31" spans="1:18" x14ac:dyDescent="0.25">
      <c r="A31" s="698"/>
      <c r="B31" s="699"/>
      <c r="C31" s="699"/>
      <c r="D31" s="699"/>
      <c r="E31" s="699"/>
      <c r="F31" s="699"/>
      <c r="G31" s="699"/>
      <c r="H31" s="699"/>
      <c r="I31" s="699"/>
      <c r="J31" s="699"/>
      <c r="K31" s="699"/>
      <c r="L31" s="699"/>
      <c r="M31" s="699"/>
      <c r="N31" s="699"/>
      <c r="O31" s="699"/>
      <c r="P31" s="699"/>
      <c r="Q31" s="699"/>
      <c r="R31" s="700"/>
    </row>
    <row r="32" spans="1:18" x14ac:dyDescent="0.25">
      <c r="A32" s="698"/>
      <c r="B32" s="699"/>
      <c r="C32" s="699"/>
      <c r="D32" s="699"/>
      <c r="E32" s="699"/>
      <c r="F32" s="699"/>
      <c r="G32" s="699"/>
      <c r="H32" s="699"/>
      <c r="I32" s="699"/>
      <c r="J32" s="699"/>
      <c r="K32" s="699"/>
      <c r="L32" s="699"/>
      <c r="M32" s="699"/>
      <c r="N32" s="699"/>
      <c r="O32" s="699"/>
      <c r="P32" s="699"/>
      <c r="Q32" s="699"/>
      <c r="R32" s="700"/>
    </row>
    <row r="33" spans="1:18" x14ac:dyDescent="0.25">
      <c r="A33" s="698"/>
      <c r="B33" s="699"/>
      <c r="C33" s="699"/>
      <c r="D33" s="699"/>
      <c r="E33" s="699"/>
      <c r="F33" s="699"/>
      <c r="G33" s="699"/>
      <c r="H33" s="699"/>
      <c r="I33" s="699"/>
      <c r="J33" s="699"/>
      <c r="K33" s="699"/>
      <c r="L33" s="699"/>
      <c r="M33" s="699"/>
      <c r="N33" s="699"/>
      <c r="O33" s="699"/>
      <c r="P33" s="699"/>
      <c r="Q33" s="699"/>
      <c r="R33" s="700"/>
    </row>
    <row r="34" spans="1:18" x14ac:dyDescent="0.25">
      <c r="A34" s="698"/>
      <c r="B34" s="699"/>
      <c r="C34" s="699"/>
      <c r="D34" s="699"/>
      <c r="E34" s="699"/>
      <c r="F34" s="699"/>
      <c r="G34" s="699"/>
      <c r="H34" s="699"/>
      <c r="I34" s="699"/>
      <c r="J34" s="699"/>
      <c r="K34" s="699"/>
      <c r="L34" s="699"/>
      <c r="M34" s="699"/>
      <c r="N34" s="699"/>
      <c r="O34" s="699"/>
      <c r="P34" s="699"/>
      <c r="Q34" s="699"/>
      <c r="R34" s="700"/>
    </row>
    <row r="35" spans="1:18" x14ac:dyDescent="0.25">
      <c r="A35" s="698"/>
      <c r="B35" s="699"/>
      <c r="C35" s="699"/>
      <c r="D35" s="699"/>
      <c r="E35" s="699"/>
      <c r="F35" s="699"/>
      <c r="G35" s="699"/>
      <c r="H35" s="699"/>
      <c r="I35" s="699"/>
      <c r="J35" s="699"/>
      <c r="K35" s="699"/>
      <c r="L35" s="699"/>
      <c r="M35" s="699"/>
      <c r="N35" s="699"/>
      <c r="O35" s="699"/>
      <c r="P35" s="699"/>
      <c r="Q35" s="699"/>
      <c r="R35" s="700"/>
    </row>
    <row r="36" spans="1:18" x14ac:dyDescent="0.25">
      <c r="A36" s="751"/>
      <c r="B36" s="538"/>
      <c r="C36" s="538"/>
      <c r="D36" s="538"/>
      <c r="E36" s="538"/>
      <c r="F36" s="538"/>
      <c r="G36" s="538"/>
      <c r="H36" s="538"/>
      <c r="I36" s="538"/>
      <c r="J36" s="538"/>
      <c r="K36" s="538"/>
      <c r="L36" s="538"/>
      <c r="M36" s="538"/>
      <c r="N36" s="538"/>
      <c r="O36" s="538"/>
      <c r="P36" s="538"/>
      <c r="Q36" s="538"/>
      <c r="R36" s="752"/>
    </row>
    <row r="37" spans="1:18" x14ac:dyDescent="0.25">
      <c r="A37" s="751"/>
      <c r="B37" s="538"/>
      <c r="C37" s="538"/>
      <c r="D37" s="538"/>
      <c r="E37" s="538"/>
      <c r="F37" s="538"/>
      <c r="G37" s="538"/>
      <c r="H37" s="538"/>
      <c r="I37" s="538"/>
      <c r="J37" s="538"/>
      <c r="K37" s="538"/>
      <c r="L37" s="538"/>
      <c r="M37" s="538"/>
      <c r="N37" s="538"/>
      <c r="O37" s="538"/>
      <c r="P37" s="538"/>
      <c r="Q37" s="538"/>
      <c r="R37" s="752"/>
    </row>
    <row r="38" spans="1:18" hidden="1" x14ac:dyDescent="0.25">
      <c r="A38" s="751"/>
      <c r="B38" s="538"/>
      <c r="C38" s="538"/>
      <c r="D38" s="538"/>
      <c r="E38" s="538"/>
      <c r="F38" s="538"/>
      <c r="G38" s="538"/>
      <c r="H38" s="538"/>
      <c r="I38" s="538"/>
      <c r="J38" s="538"/>
      <c r="K38" s="538"/>
      <c r="L38" s="538"/>
      <c r="M38" s="538"/>
      <c r="N38" s="538"/>
      <c r="O38" s="538"/>
      <c r="P38" s="538"/>
      <c r="Q38" s="538"/>
      <c r="R38" s="752"/>
    </row>
    <row r="39" spans="1:18" hidden="1" x14ac:dyDescent="0.25">
      <c r="A39" s="751"/>
      <c r="B39" s="538"/>
      <c r="C39" s="538"/>
      <c r="D39" s="538"/>
      <c r="E39" s="538"/>
      <c r="F39" s="538"/>
      <c r="G39" s="538"/>
      <c r="H39" s="538"/>
      <c r="I39" s="538"/>
      <c r="J39" s="538"/>
      <c r="K39" s="538"/>
      <c r="L39" s="538"/>
      <c r="M39" s="538"/>
      <c r="N39" s="538"/>
      <c r="O39" s="538"/>
      <c r="P39" s="538"/>
      <c r="Q39" s="538"/>
      <c r="R39" s="752"/>
    </row>
    <row r="40" spans="1:18" hidden="1" x14ac:dyDescent="0.25">
      <c r="A40" s="751"/>
      <c r="B40" s="538"/>
      <c r="C40" s="538"/>
      <c r="D40" s="538"/>
      <c r="E40" s="538"/>
      <c r="F40" s="538"/>
      <c r="G40" s="538"/>
      <c r="H40" s="538"/>
      <c r="I40" s="538"/>
      <c r="J40" s="538"/>
      <c r="K40" s="538"/>
      <c r="L40" s="538"/>
      <c r="M40" s="538"/>
      <c r="N40" s="538"/>
      <c r="O40" s="538"/>
      <c r="P40" s="538"/>
      <c r="Q40" s="538"/>
      <c r="R40" s="752"/>
    </row>
    <row r="41" spans="1:18" hidden="1" x14ac:dyDescent="0.25">
      <c r="A41" s="751"/>
      <c r="B41" s="538"/>
      <c r="C41" s="538"/>
      <c r="D41" s="538"/>
      <c r="E41" s="538"/>
      <c r="F41" s="538"/>
      <c r="G41" s="538"/>
      <c r="H41" s="538"/>
      <c r="I41" s="538"/>
      <c r="J41" s="538"/>
      <c r="K41" s="538"/>
      <c r="L41" s="538"/>
      <c r="M41" s="538"/>
      <c r="N41" s="538"/>
      <c r="O41" s="538"/>
      <c r="P41" s="538"/>
      <c r="Q41" s="538"/>
      <c r="R41" s="752"/>
    </row>
    <row r="42" spans="1:18" hidden="1" x14ac:dyDescent="0.25">
      <c r="A42" s="751"/>
      <c r="B42" s="538"/>
      <c r="C42" s="538"/>
      <c r="D42" s="538"/>
      <c r="E42" s="538"/>
      <c r="F42" s="538"/>
      <c r="G42" s="538"/>
      <c r="H42" s="538"/>
      <c r="I42" s="538"/>
      <c r="J42" s="538"/>
      <c r="K42" s="538"/>
      <c r="L42" s="538"/>
      <c r="M42" s="538"/>
      <c r="N42" s="538"/>
      <c r="O42" s="538"/>
      <c r="P42" s="538"/>
      <c r="Q42" s="538"/>
      <c r="R42" s="752"/>
    </row>
    <row r="43" spans="1:18" ht="15.75" hidden="1" thickBot="1" x14ac:dyDescent="0.3">
      <c r="A43" s="753"/>
      <c r="B43" s="754"/>
      <c r="C43" s="754"/>
      <c r="D43" s="754"/>
      <c r="E43" s="754"/>
      <c r="F43" s="754"/>
      <c r="G43" s="754"/>
      <c r="H43" s="754"/>
      <c r="I43" s="754"/>
      <c r="J43" s="754"/>
      <c r="K43" s="754"/>
      <c r="L43" s="754"/>
      <c r="M43" s="754"/>
      <c r="N43" s="754"/>
      <c r="O43" s="754"/>
      <c r="P43" s="754"/>
      <c r="Q43" s="754"/>
      <c r="R43" s="755"/>
    </row>
  </sheetData>
  <mergeCells count="13">
    <mergeCell ref="A1:R1"/>
    <mergeCell ref="B2:R2"/>
    <mergeCell ref="B5:R5"/>
    <mergeCell ref="B7:R7"/>
    <mergeCell ref="A27:R43"/>
    <mergeCell ref="A17:R17"/>
    <mergeCell ref="A18:R25"/>
    <mergeCell ref="A26:R26"/>
    <mergeCell ref="B6:R6"/>
    <mergeCell ref="B3:R3"/>
    <mergeCell ref="B4:R4"/>
    <mergeCell ref="A8:R8"/>
    <mergeCell ref="A9:R16"/>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M53"/>
  <sheetViews>
    <sheetView zoomScale="85" zoomScaleNormal="85" workbookViewId="0">
      <selection activeCell="D13" sqref="D13"/>
    </sheetView>
  </sheetViews>
  <sheetFormatPr defaultRowHeight="15" x14ac:dyDescent="0.25"/>
  <cols>
    <col min="1" max="1" width="11.42578125" customWidth="1"/>
    <col min="2" max="3" width="35.7109375" customWidth="1"/>
    <col min="4" max="4" width="30.28515625" customWidth="1"/>
    <col min="5" max="5" width="14.7109375" bestFit="1" customWidth="1"/>
    <col min="6" max="6" width="30.28515625" customWidth="1"/>
    <col min="7" max="7" width="12.5703125" bestFit="1" customWidth="1"/>
    <col min="8" max="8" width="30.28515625" customWidth="1"/>
    <col min="9" max="9" width="12.5703125" bestFit="1" customWidth="1"/>
    <col min="10" max="10" width="30.28515625" customWidth="1"/>
    <col min="11" max="11" width="12.5703125" bestFit="1" customWidth="1"/>
    <col min="12" max="12" width="30.28515625" customWidth="1"/>
    <col min="13" max="13" width="17" customWidth="1"/>
  </cols>
  <sheetData>
    <row r="1" spans="1:13" x14ac:dyDescent="0.25">
      <c r="A1" s="38"/>
      <c r="B1" s="38"/>
      <c r="C1" s="38"/>
      <c r="D1" s="38"/>
      <c r="E1" s="38"/>
      <c r="F1" s="38"/>
      <c r="G1" s="38"/>
      <c r="H1" s="38"/>
      <c r="I1" s="38"/>
      <c r="J1" s="38"/>
      <c r="K1" s="39"/>
      <c r="L1" s="39"/>
      <c r="M1" s="39"/>
    </row>
    <row r="2" spans="1:13" ht="23.25" x14ac:dyDescent="0.25">
      <c r="A2" s="770" t="s">
        <v>106</v>
      </c>
      <c r="B2" s="771"/>
      <c r="C2" s="771"/>
      <c r="D2" s="771"/>
      <c r="E2" s="771"/>
      <c r="F2" s="771"/>
      <c r="G2" s="771"/>
      <c r="H2" s="771"/>
      <c r="I2" s="771"/>
      <c r="J2" s="771"/>
      <c r="K2" s="771"/>
      <c r="L2" s="771"/>
      <c r="M2" s="771"/>
    </row>
    <row r="3" spans="1:13" ht="20.25" x14ac:dyDescent="0.3">
      <c r="A3" s="51"/>
      <c r="B3" s="51"/>
      <c r="C3" s="40"/>
      <c r="D3" s="40"/>
      <c r="E3" s="40"/>
      <c r="F3" s="40"/>
      <c r="G3" s="40"/>
      <c r="H3" s="40"/>
      <c r="I3" s="40"/>
      <c r="J3" s="40"/>
      <c r="K3" s="41"/>
      <c r="L3" s="41"/>
      <c r="M3" s="41"/>
    </row>
    <row r="4" spans="1:13" ht="15.75" x14ac:dyDescent="0.25">
      <c r="A4" s="16" t="s">
        <v>84</v>
      </c>
      <c r="B4" s="16"/>
      <c r="C4" s="16"/>
      <c r="D4" s="16"/>
      <c r="E4" s="16"/>
      <c r="F4" s="16"/>
      <c r="G4" s="16"/>
      <c r="H4" s="16"/>
      <c r="I4" s="16"/>
      <c r="J4" s="16"/>
      <c r="K4" s="39"/>
      <c r="L4" s="39"/>
      <c r="M4" s="39"/>
    </row>
    <row r="5" spans="1:13" ht="15.75" x14ac:dyDescent="0.25">
      <c r="A5" s="52">
        <f>'INPUT SHEET FOR LAR'!D5</f>
        <v>711</v>
      </c>
      <c r="B5" s="52"/>
      <c r="C5" s="16"/>
      <c r="D5" s="42" t="s">
        <v>70</v>
      </c>
      <c r="E5" s="42" t="str">
        <f>'INPUT SHEET FOR LAR'!D4</f>
        <v>Tracy Foster</v>
      </c>
      <c r="F5" s="43"/>
      <c r="G5" s="43"/>
      <c r="H5" s="43"/>
      <c r="I5" s="16" t="s">
        <v>117</v>
      </c>
      <c r="J5" s="44">
        <f ca="1">TODAY()</f>
        <v>45481</v>
      </c>
      <c r="K5" s="39"/>
      <c r="L5" s="39"/>
      <c r="M5" s="39"/>
    </row>
    <row r="6" spans="1:13" ht="15.75" x14ac:dyDescent="0.25">
      <c r="A6" s="16" t="s">
        <v>83</v>
      </c>
      <c r="B6" s="16"/>
      <c r="C6" s="16"/>
      <c r="D6" s="16"/>
      <c r="E6" s="16"/>
      <c r="F6" s="16"/>
      <c r="G6" s="16"/>
      <c r="H6" s="16"/>
      <c r="I6" s="16"/>
      <c r="J6" s="16"/>
      <c r="K6" s="39"/>
      <c r="L6" s="39"/>
      <c r="M6" s="39"/>
    </row>
    <row r="7" spans="1:13" ht="15.75" x14ac:dyDescent="0.25">
      <c r="A7" s="52" t="str">
        <f>'INPUT SHEET FOR LAR'!D6</f>
        <v>University Name</v>
      </c>
      <c r="B7" s="52"/>
      <c r="C7" s="24"/>
      <c r="D7" s="45" t="s">
        <v>107</v>
      </c>
      <c r="E7" s="45"/>
      <c r="F7" s="45" t="s">
        <v>107</v>
      </c>
      <c r="G7" s="45"/>
      <c r="H7" s="45" t="s">
        <v>4</v>
      </c>
      <c r="I7" s="46"/>
      <c r="J7" s="40" t="s">
        <v>3</v>
      </c>
      <c r="K7" s="46"/>
      <c r="L7" s="40" t="s">
        <v>3</v>
      </c>
      <c r="M7" s="24"/>
    </row>
    <row r="8" spans="1:13" ht="16.5" thickBot="1" x14ac:dyDescent="0.3">
      <c r="A8" s="768" t="s">
        <v>6</v>
      </c>
      <c r="B8" s="769"/>
      <c r="C8" s="24"/>
      <c r="D8" s="47">
        <f>F8-1</f>
        <v>2019</v>
      </c>
      <c r="E8" s="45"/>
      <c r="F8" s="47">
        <f>H8-1</f>
        <v>2020</v>
      </c>
      <c r="G8" s="45"/>
      <c r="H8" s="47">
        <f>J8-1</f>
        <v>2021</v>
      </c>
      <c r="I8" s="45"/>
      <c r="J8" s="47">
        <f>L8-1</f>
        <v>2022</v>
      </c>
      <c r="K8" s="45"/>
      <c r="L8" s="47">
        <f>'INPUT SHEET FOR LAR'!D3</f>
        <v>2023</v>
      </c>
      <c r="M8" s="39"/>
    </row>
    <row r="9" spans="1:13" ht="18.75" x14ac:dyDescent="0.3">
      <c r="A9" s="16"/>
      <c r="B9" s="16"/>
      <c r="C9" s="16"/>
      <c r="D9" s="20"/>
      <c r="E9" s="20"/>
      <c r="F9" s="20"/>
      <c r="G9" s="20"/>
      <c r="H9" s="21"/>
      <c r="I9" s="20"/>
      <c r="J9" s="21"/>
      <c r="K9" s="20"/>
      <c r="L9" s="21"/>
      <c r="M9" s="39"/>
    </row>
    <row r="10" spans="1:13" ht="18.75" x14ac:dyDescent="0.3">
      <c r="A10" s="16" t="s">
        <v>108</v>
      </c>
      <c r="B10" s="16"/>
      <c r="C10" s="24" t="s">
        <v>109</v>
      </c>
      <c r="D10" s="25" t="s">
        <v>110</v>
      </c>
      <c r="E10" s="25" t="s">
        <v>109</v>
      </c>
      <c r="F10" s="25" t="s">
        <v>110</v>
      </c>
      <c r="G10" s="25" t="s">
        <v>109</v>
      </c>
      <c r="H10" s="26" t="s">
        <v>110</v>
      </c>
      <c r="I10" s="25" t="s">
        <v>109</v>
      </c>
      <c r="J10" s="26" t="s">
        <v>110</v>
      </c>
      <c r="K10" s="25" t="s">
        <v>109</v>
      </c>
      <c r="L10" s="26" t="s">
        <v>110</v>
      </c>
      <c r="M10" s="39"/>
    </row>
    <row r="11" spans="1:13" ht="18.75" x14ac:dyDescent="0.3">
      <c r="A11" s="16" t="s">
        <v>111</v>
      </c>
      <c r="B11" s="16"/>
      <c r="C11" s="24" t="s">
        <v>65</v>
      </c>
      <c r="D11" s="25" t="s">
        <v>112</v>
      </c>
      <c r="E11" s="25" t="s">
        <v>65</v>
      </c>
      <c r="F11" s="25" t="s">
        <v>112</v>
      </c>
      <c r="G11" s="25" t="s">
        <v>65</v>
      </c>
      <c r="H11" s="26" t="s">
        <v>112</v>
      </c>
      <c r="I11" s="25" t="s">
        <v>65</v>
      </c>
      <c r="J11" s="26" t="s">
        <v>112</v>
      </c>
      <c r="K11" s="25" t="s">
        <v>65</v>
      </c>
      <c r="L11" s="26" t="s">
        <v>112</v>
      </c>
      <c r="M11" s="39"/>
    </row>
    <row r="12" spans="1:13" ht="18.75" x14ac:dyDescent="0.3">
      <c r="A12" s="16"/>
      <c r="B12" s="16"/>
      <c r="C12" s="16"/>
      <c r="D12" s="27"/>
      <c r="E12" s="20"/>
      <c r="F12" s="20"/>
      <c r="G12" s="20"/>
      <c r="H12" s="21"/>
      <c r="I12" s="20"/>
      <c r="J12" s="21"/>
      <c r="K12" s="20"/>
      <c r="L12" s="21"/>
      <c r="M12" s="39"/>
    </row>
    <row r="13" spans="1:13" ht="18.75" x14ac:dyDescent="0.3">
      <c r="A13" s="16" t="s">
        <v>327</v>
      </c>
      <c r="B13" s="16"/>
      <c r="C13" s="425">
        <f>'APS011 Sec I'!P21</f>
        <v>0.80780019045149587</v>
      </c>
      <c r="D13" s="23">
        <f>ROUND((D22-D21)*C13,0)</f>
        <v>772433</v>
      </c>
      <c r="E13" s="426">
        <v>0.80969800000000003</v>
      </c>
      <c r="F13" s="23">
        <f>ROUND((F22-F21)*E13,0)</f>
        <v>787748</v>
      </c>
      <c r="G13" s="426">
        <f>E13</f>
        <v>0.80969800000000003</v>
      </c>
      <c r="H13" s="23">
        <f>ROUND((H22-H21)*G13,0)</f>
        <v>789114</v>
      </c>
      <c r="I13" s="426">
        <f>G13</f>
        <v>0.80969800000000003</v>
      </c>
      <c r="J13" s="23">
        <f>ROUND((J22-J21)*I13,0)</f>
        <v>812787</v>
      </c>
      <c r="K13" s="426">
        <f>I13</f>
        <v>0.80969800000000003</v>
      </c>
      <c r="L13" s="23">
        <f>ROUND((L22-L21)*K13,0)</f>
        <v>837171</v>
      </c>
      <c r="M13" s="39"/>
    </row>
    <row r="14" spans="1:13" ht="18.75" x14ac:dyDescent="0.3">
      <c r="A14" s="16"/>
      <c r="B14" s="16"/>
      <c r="C14" s="29"/>
      <c r="D14" s="30"/>
      <c r="E14" s="31"/>
      <c r="F14" s="30"/>
      <c r="G14" s="31"/>
      <c r="H14" s="30"/>
      <c r="I14" s="20"/>
      <c r="J14" s="30"/>
      <c r="K14" s="20"/>
      <c r="L14" s="30"/>
      <c r="M14" s="39"/>
    </row>
    <row r="15" spans="1:13" ht="18.75" x14ac:dyDescent="0.3">
      <c r="A15" s="16" t="s">
        <v>114</v>
      </c>
      <c r="B15" s="16"/>
      <c r="C15" s="19">
        <f>+'APS011 Sec I'!P34</f>
        <v>0.19219980954850402</v>
      </c>
      <c r="D15" s="23">
        <f>ROUND((D22-D21)*C15,0)</f>
        <v>183785</v>
      </c>
      <c r="E15" s="437">
        <f>SUM(1-E13-E18)</f>
        <v>0.19030199999999997</v>
      </c>
      <c r="F15" s="23">
        <f>ROUND((F22-F21)*E15,0)</f>
        <v>185143</v>
      </c>
      <c r="G15" s="437">
        <f>SUM(1-G13-G18)</f>
        <v>0.19030199999999997</v>
      </c>
      <c r="H15" s="23">
        <f>ROUND((H22-H21)*G15,0)</f>
        <v>185464</v>
      </c>
      <c r="I15" s="437">
        <f>SUM(1-I13-I18)</f>
        <v>0.19030199999999997</v>
      </c>
      <c r="J15" s="23">
        <f>ROUND((J22-J21)*I15,0)</f>
        <v>191028</v>
      </c>
      <c r="K15" s="437">
        <f>SUM(1-K13-K18)</f>
        <v>0.19030199999999997</v>
      </c>
      <c r="L15" s="23">
        <f>ROUND((L22-L21)*K15,0)</f>
        <v>196759</v>
      </c>
      <c r="M15" s="39"/>
    </row>
    <row r="16" spans="1:13" ht="18.75" x14ac:dyDescent="0.3">
      <c r="A16" s="16" t="s">
        <v>328</v>
      </c>
      <c r="B16" s="16"/>
      <c r="C16" s="29"/>
      <c r="D16" s="30"/>
      <c r="E16" s="31"/>
      <c r="F16" s="30"/>
      <c r="G16" s="31"/>
      <c r="H16" s="32"/>
      <c r="I16" s="20"/>
      <c r="J16" s="21"/>
      <c r="K16" s="20"/>
      <c r="L16" s="21"/>
      <c r="M16" s="39"/>
    </row>
    <row r="17" spans="1:13" ht="7.5" customHeight="1" x14ac:dyDescent="0.3">
      <c r="A17" s="16"/>
      <c r="B17" s="16"/>
      <c r="C17" s="29"/>
      <c r="D17" s="30"/>
      <c r="E17" s="31"/>
      <c r="F17" s="30"/>
      <c r="G17" s="31"/>
      <c r="H17" s="32"/>
      <c r="I17" s="20"/>
      <c r="J17" s="21"/>
      <c r="K17" s="20"/>
      <c r="L17" s="21"/>
      <c r="M17" s="39"/>
    </row>
    <row r="18" spans="1:13" ht="18.75" x14ac:dyDescent="0.3">
      <c r="A18" s="16" t="s">
        <v>307</v>
      </c>
      <c r="B18" s="16"/>
      <c r="C18" s="19">
        <f>1-C13-C15</f>
        <v>0</v>
      </c>
      <c r="D18" s="23">
        <f>ROUND((D24-D23)*C18,0)</f>
        <v>0</v>
      </c>
      <c r="E18" s="426">
        <v>0</v>
      </c>
      <c r="F18" s="23">
        <f>ROUND((F24-F23)*E18,0)</f>
        <v>0</v>
      </c>
      <c r="G18" s="426">
        <v>0</v>
      </c>
      <c r="H18" s="23">
        <f>ROUND((H24-H23)*G18,0)</f>
        <v>0</v>
      </c>
      <c r="I18" s="426">
        <v>0</v>
      </c>
      <c r="J18" s="23">
        <f>ROUND((J24-J23)*I18,0)</f>
        <v>0</v>
      </c>
      <c r="K18" s="426">
        <v>0</v>
      </c>
      <c r="L18" s="23">
        <f>ROUND((L24-L23)*K18,0)</f>
        <v>0</v>
      </c>
      <c r="M18" s="39"/>
    </row>
    <row r="19" spans="1:13" ht="18.75" x14ac:dyDescent="0.3">
      <c r="A19" s="16" t="s">
        <v>308</v>
      </c>
      <c r="B19" s="16"/>
      <c r="C19" s="29"/>
      <c r="D19" s="30"/>
      <c r="E19" s="31"/>
      <c r="F19" s="30"/>
      <c r="G19" s="31"/>
      <c r="H19" s="32"/>
      <c r="I19" s="20"/>
      <c r="J19" s="21"/>
      <c r="K19" s="20"/>
      <c r="L19" s="21"/>
      <c r="M19" s="39"/>
    </row>
    <row r="20" spans="1:13" ht="10.5" customHeight="1" x14ac:dyDescent="0.3">
      <c r="A20" s="16"/>
      <c r="B20" s="16"/>
      <c r="C20" s="29"/>
      <c r="D20" s="30"/>
      <c r="E20" s="31"/>
      <c r="F20" s="30"/>
      <c r="G20" s="31"/>
      <c r="H20" s="32"/>
      <c r="I20" s="20"/>
      <c r="J20" s="21"/>
      <c r="K20" s="20"/>
      <c r="L20" s="21"/>
      <c r="M20" s="39"/>
    </row>
    <row r="21" spans="1:13" ht="18.75" x14ac:dyDescent="0.3">
      <c r="A21" s="16" t="s">
        <v>115</v>
      </c>
      <c r="B21" s="16"/>
      <c r="C21" s="20"/>
      <c r="D21" s="17">
        <f>'APS011 Sec II'!G10</f>
        <v>0</v>
      </c>
      <c r="E21" s="20"/>
      <c r="F21" s="17">
        <v>0</v>
      </c>
      <c r="G21" s="33"/>
      <c r="H21" s="17">
        <v>0</v>
      </c>
      <c r="I21" s="20"/>
      <c r="J21" s="17">
        <v>0</v>
      </c>
      <c r="K21" s="20"/>
      <c r="L21" s="17">
        <v>0</v>
      </c>
      <c r="M21" s="39"/>
    </row>
    <row r="22" spans="1:13" ht="19.5" thickBot="1" x14ac:dyDescent="0.35">
      <c r="A22" s="16" t="s">
        <v>116</v>
      </c>
      <c r="B22" s="16"/>
      <c r="C22" s="34">
        <v>1</v>
      </c>
      <c r="D22" s="35">
        <f>'APS011 Sec II'!I15</f>
        <v>956217.65</v>
      </c>
      <c r="E22" s="34">
        <v>1</v>
      </c>
      <c r="F22" s="355">
        <v>972891.19</v>
      </c>
      <c r="G22" s="34">
        <v>1</v>
      </c>
      <c r="H22" s="355">
        <v>974577.75</v>
      </c>
      <c r="I22" s="34">
        <v>1</v>
      </c>
      <c r="J22" s="35">
        <f>H22*(1+'INPUT SHEET FOR LAR'!$D$8)</f>
        <v>1003815.0825</v>
      </c>
      <c r="K22" s="34">
        <v>1</v>
      </c>
      <c r="L22" s="35">
        <f>J22*(1+'INPUT SHEET FOR LAR'!$D$8)</f>
        <v>1033929.5349750001</v>
      </c>
      <c r="M22" s="39"/>
    </row>
    <row r="23" spans="1:13" ht="19.5" thickTop="1" x14ac:dyDescent="0.3">
      <c r="A23" s="53"/>
      <c r="B23" s="53"/>
      <c r="C23" s="36"/>
      <c r="D23" s="37"/>
      <c r="E23" s="37"/>
      <c r="F23" s="37"/>
      <c r="G23" s="37"/>
      <c r="H23" s="37"/>
      <c r="I23" s="37"/>
      <c r="J23" s="37"/>
      <c r="K23" s="37"/>
      <c r="L23" s="37"/>
      <c r="M23" s="36"/>
    </row>
    <row r="24" spans="1:13" ht="18.75" x14ac:dyDescent="0.3">
      <c r="A24" s="53"/>
      <c r="B24" s="53"/>
      <c r="C24" s="36"/>
      <c r="D24" s="37"/>
      <c r="E24" s="37"/>
      <c r="F24" s="37"/>
      <c r="G24" s="37"/>
      <c r="H24" s="37"/>
      <c r="I24" s="37"/>
      <c r="J24" s="37"/>
      <c r="K24" s="37"/>
      <c r="L24" s="37"/>
      <c r="M24" s="36"/>
    </row>
    <row r="25" spans="1:13" ht="18.75" x14ac:dyDescent="0.3">
      <c r="A25" s="53"/>
      <c r="B25" s="53"/>
      <c r="C25" s="36"/>
      <c r="D25" s="37"/>
      <c r="E25" s="37"/>
      <c r="F25" s="37"/>
      <c r="G25" s="37"/>
      <c r="H25" s="37"/>
      <c r="I25" s="37"/>
      <c r="J25" s="37"/>
      <c r="K25" s="37"/>
      <c r="L25" s="37"/>
      <c r="M25" s="36"/>
    </row>
    <row r="26" spans="1:13" ht="18.75" x14ac:dyDescent="0.3">
      <c r="A26" s="53"/>
      <c r="B26" s="53"/>
      <c r="C26" s="36"/>
      <c r="D26" s="37"/>
      <c r="E26" s="37"/>
      <c r="F26" s="37"/>
      <c r="G26" s="37"/>
      <c r="H26" s="37"/>
      <c r="I26" s="37"/>
      <c r="J26" s="37"/>
      <c r="K26" s="37"/>
      <c r="L26" s="37"/>
      <c r="M26" s="36"/>
    </row>
    <row r="27" spans="1:13" ht="18.75" x14ac:dyDescent="0.3">
      <c r="A27" s="53"/>
      <c r="B27" s="53"/>
      <c r="C27" s="36"/>
      <c r="D27" s="37"/>
      <c r="E27" s="37"/>
      <c r="F27" s="37"/>
      <c r="G27" s="37"/>
      <c r="H27" s="37"/>
      <c r="I27" s="37"/>
      <c r="J27" s="37"/>
      <c r="K27" s="37"/>
      <c r="L27" s="37"/>
      <c r="M27" s="36"/>
    </row>
    <row r="28" spans="1:13" ht="18.75" x14ac:dyDescent="0.3">
      <c r="A28" s="53"/>
      <c r="B28" s="53"/>
      <c r="C28" s="36"/>
      <c r="D28" s="37"/>
      <c r="E28" s="37"/>
      <c r="F28" s="37"/>
      <c r="G28" s="37"/>
      <c r="H28" s="37"/>
      <c r="I28" s="37"/>
      <c r="J28" s="37"/>
      <c r="K28" s="37"/>
      <c r="L28" s="37"/>
      <c r="M28" s="36"/>
    </row>
    <row r="29" spans="1:13" ht="18.75" x14ac:dyDescent="0.3">
      <c r="A29" s="53"/>
      <c r="B29" s="53"/>
      <c r="C29" s="36"/>
      <c r="D29" s="37"/>
      <c r="E29" s="37"/>
      <c r="F29" s="37"/>
      <c r="G29" s="37"/>
      <c r="H29" s="37"/>
      <c r="I29" s="37"/>
      <c r="J29" s="37"/>
      <c r="K29" s="37"/>
      <c r="L29" s="37"/>
      <c r="M29" s="36"/>
    </row>
    <row r="30" spans="1:13" ht="18.75" x14ac:dyDescent="0.3">
      <c r="A30" s="53"/>
      <c r="B30" s="53"/>
      <c r="C30" s="36"/>
      <c r="D30" s="37"/>
      <c r="E30" s="37"/>
      <c r="F30" s="37"/>
      <c r="G30" s="37"/>
      <c r="H30" s="37"/>
      <c r="I30" s="37"/>
      <c r="J30" s="37"/>
      <c r="K30" s="37"/>
      <c r="L30" s="37"/>
      <c r="M30" s="36"/>
    </row>
    <row r="31" spans="1:13" ht="18.75" x14ac:dyDescent="0.3">
      <c r="A31" s="53"/>
      <c r="B31" s="53"/>
      <c r="C31" s="36"/>
      <c r="D31" s="37"/>
      <c r="E31" s="37"/>
      <c r="F31" s="37"/>
      <c r="G31" s="37"/>
      <c r="H31" s="37"/>
      <c r="I31" s="37"/>
      <c r="J31" s="37"/>
      <c r="K31" s="37"/>
      <c r="L31" s="37"/>
      <c r="M31" s="36"/>
    </row>
    <row r="32" spans="1:13" ht="18.75" x14ac:dyDescent="0.3">
      <c r="A32" s="53"/>
      <c r="B32" s="53"/>
      <c r="C32" s="36"/>
      <c r="D32" s="37"/>
      <c r="E32" s="37"/>
      <c r="F32" s="37"/>
      <c r="G32" s="37"/>
      <c r="H32" s="37"/>
      <c r="I32" s="37"/>
      <c r="J32" s="37"/>
      <c r="K32" s="37"/>
      <c r="L32" s="37"/>
      <c r="M32" s="36"/>
    </row>
    <row r="33" spans="1:13" ht="18.75" x14ac:dyDescent="0.3">
      <c r="A33" s="53"/>
      <c r="B33" s="53"/>
      <c r="C33" s="36"/>
      <c r="D33" s="37"/>
      <c r="E33" s="37"/>
      <c r="F33" s="37"/>
      <c r="G33" s="37"/>
      <c r="H33" s="37"/>
      <c r="I33" s="37"/>
      <c r="J33" s="37"/>
      <c r="K33" s="37"/>
      <c r="L33" s="37"/>
      <c r="M33" s="36"/>
    </row>
    <row r="34" spans="1:13" ht="18.75" x14ac:dyDescent="0.3">
      <c r="A34" s="53"/>
      <c r="B34" s="53"/>
      <c r="C34" s="36"/>
      <c r="D34" s="37"/>
      <c r="E34" s="37"/>
      <c r="F34" s="37"/>
      <c r="G34" s="37"/>
      <c r="H34" s="37"/>
      <c r="I34" s="37"/>
      <c r="J34" s="37"/>
      <c r="K34" s="37"/>
      <c r="L34" s="37"/>
      <c r="M34" s="36"/>
    </row>
    <row r="35" spans="1:13" ht="18.75" x14ac:dyDescent="0.3">
      <c r="A35" s="53"/>
      <c r="B35" s="53"/>
      <c r="C35" s="36"/>
      <c r="D35" s="37"/>
      <c r="E35" s="37"/>
      <c r="F35" s="37"/>
      <c r="G35" s="37"/>
      <c r="H35" s="37"/>
      <c r="I35" s="37"/>
      <c r="J35" s="37"/>
      <c r="K35" s="37"/>
      <c r="L35" s="37"/>
      <c r="M35" s="36"/>
    </row>
    <row r="36" spans="1:13" ht="18.75" x14ac:dyDescent="0.3">
      <c r="A36" s="53"/>
      <c r="B36" s="53"/>
      <c r="C36" s="36"/>
      <c r="D36" s="37"/>
      <c r="E36" s="37"/>
      <c r="F36" s="37"/>
      <c r="G36" s="37"/>
      <c r="H36" s="37"/>
      <c r="I36" s="37"/>
      <c r="J36" s="37"/>
      <c r="K36" s="37"/>
      <c r="L36" s="37"/>
      <c r="M36" s="36"/>
    </row>
    <row r="37" spans="1:13" ht="18.75" x14ac:dyDescent="0.3">
      <c r="A37" s="53"/>
      <c r="B37" s="53"/>
      <c r="C37" s="36"/>
      <c r="D37" s="37"/>
      <c r="E37" s="37"/>
      <c r="F37" s="37"/>
      <c r="G37" s="37"/>
      <c r="H37" s="37"/>
      <c r="I37" s="37"/>
      <c r="J37" s="37"/>
      <c r="K37" s="37"/>
      <c r="L37" s="37"/>
      <c r="M37" s="36"/>
    </row>
    <row r="38" spans="1:13" ht="18.75" x14ac:dyDescent="0.3">
      <c r="A38" s="53"/>
      <c r="B38" s="53"/>
      <c r="C38" s="36"/>
      <c r="D38" s="37"/>
      <c r="E38" s="37"/>
      <c r="F38" s="37"/>
      <c r="G38" s="37"/>
      <c r="H38" s="37"/>
      <c r="I38" s="37"/>
      <c r="J38" s="37"/>
      <c r="K38" s="37"/>
      <c r="L38" s="37"/>
      <c r="M38" s="36"/>
    </row>
    <row r="39" spans="1:13" ht="18.75" x14ac:dyDescent="0.3">
      <c r="A39" s="53"/>
      <c r="B39" s="53"/>
      <c r="C39" s="36"/>
      <c r="D39" s="37"/>
      <c r="E39" s="37"/>
      <c r="F39" s="37"/>
      <c r="G39" s="37"/>
      <c r="H39" s="37"/>
      <c r="I39" s="37"/>
      <c r="J39" s="37"/>
      <c r="K39" s="37"/>
      <c r="L39" s="37"/>
      <c r="M39" s="36"/>
    </row>
    <row r="40" spans="1:13" ht="18.75" x14ac:dyDescent="0.3">
      <c r="A40" s="53"/>
      <c r="B40" s="53"/>
      <c r="C40" s="36"/>
      <c r="D40" s="37"/>
      <c r="E40" s="37"/>
      <c r="F40" s="37"/>
      <c r="G40" s="37"/>
      <c r="H40" s="37"/>
      <c r="I40" s="37"/>
      <c r="J40" s="37"/>
      <c r="K40" s="37"/>
      <c r="L40" s="37"/>
      <c r="M40" s="36"/>
    </row>
    <row r="41" spans="1:13" ht="18.75" x14ac:dyDescent="0.3">
      <c r="A41" s="53"/>
      <c r="B41" s="53"/>
      <c r="C41" s="36"/>
      <c r="D41" s="37"/>
      <c r="E41" s="37"/>
      <c r="F41" s="37"/>
      <c r="G41" s="37"/>
      <c r="H41" s="37"/>
      <c r="I41" s="37"/>
      <c r="J41" s="37"/>
      <c r="K41" s="37"/>
      <c r="L41" s="37"/>
      <c r="M41" s="36"/>
    </row>
    <row r="42" spans="1:13" ht="18.75" x14ac:dyDescent="0.3">
      <c r="A42" s="53"/>
      <c r="B42" s="53"/>
      <c r="C42" s="36"/>
      <c r="D42" s="37"/>
      <c r="E42" s="37"/>
      <c r="F42" s="37"/>
      <c r="G42" s="37"/>
      <c r="H42" s="37"/>
      <c r="I42" s="37"/>
      <c r="J42" s="37"/>
      <c r="K42" s="37"/>
      <c r="L42" s="37"/>
      <c r="M42" s="36"/>
    </row>
    <row r="43" spans="1:13" ht="18.75" x14ac:dyDescent="0.3">
      <c r="A43" s="53"/>
      <c r="B43" s="53"/>
      <c r="C43" s="36"/>
      <c r="D43" s="37"/>
      <c r="E43" s="37"/>
      <c r="F43" s="37"/>
      <c r="G43" s="37"/>
      <c r="H43" s="37"/>
      <c r="I43" s="37"/>
      <c r="J43" s="37"/>
      <c r="K43" s="37"/>
      <c r="L43" s="37"/>
      <c r="M43" s="36"/>
    </row>
    <row r="44" spans="1:13" ht="18.75" x14ac:dyDescent="0.3">
      <c r="A44" s="53"/>
      <c r="B44" s="53"/>
      <c r="C44" s="36"/>
      <c r="D44" s="37"/>
      <c r="E44" s="37"/>
      <c r="F44" s="37"/>
      <c r="G44" s="37"/>
      <c r="H44" s="37"/>
      <c r="I44" s="37"/>
      <c r="J44" s="37"/>
      <c r="K44" s="37"/>
      <c r="L44" s="37"/>
      <c r="M44" s="36"/>
    </row>
    <row r="45" spans="1:13" ht="18.75" x14ac:dyDescent="0.3">
      <c r="A45" s="53"/>
      <c r="B45" s="53"/>
      <c r="C45" s="36"/>
      <c r="D45" s="37"/>
      <c r="E45" s="37"/>
      <c r="F45" s="37"/>
      <c r="G45" s="37"/>
      <c r="H45" s="37"/>
      <c r="I45" s="37"/>
      <c r="J45" s="37"/>
      <c r="K45" s="37"/>
      <c r="L45" s="37"/>
      <c r="M45" s="36"/>
    </row>
    <row r="46" spans="1:13" ht="18.75" x14ac:dyDescent="0.3">
      <c r="A46" s="53"/>
      <c r="B46" s="53"/>
      <c r="C46" s="36"/>
      <c r="D46" s="37"/>
      <c r="E46" s="37"/>
      <c r="F46" s="37"/>
      <c r="G46" s="37"/>
      <c r="H46" s="37"/>
      <c r="I46" s="37"/>
      <c r="J46" s="37"/>
      <c r="K46" s="37"/>
      <c r="L46" s="37"/>
      <c r="M46" s="36"/>
    </row>
    <row r="47" spans="1:13" ht="18.75" x14ac:dyDescent="0.3">
      <c r="A47" s="53"/>
      <c r="B47" s="53"/>
      <c r="C47" s="36"/>
      <c r="D47" s="37"/>
      <c r="E47" s="37"/>
      <c r="F47" s="37"/>
      <c r="G47" s="37"/>
      <c r="H47" s="37"/>
      <c r="I47" s="37"/>
      <c r="J47" s="37"/>
      <c r="K47" s="37"/>
      <c r="L47" s="37"/>
      <c r="M47" s="36"/>
    </row>
    <row r="48" spans="1:13" ht="18.75" x14ac:dyDescent="0.3">
      <c r="A48" s="53"/>
      <c r="B48" s="53"/>
      <c r="C48" s="36"/>
      <c r="D48" s="37"/>
      <c r="E48" s="37"/>
      <c r="F48" s="37"/>
      <c r="G48" s="37"/>
      <c r="H48" s="37"/>
      <c r="I48" s="37"/>
      <c r="J48" s="37"/>
      <c r="K48" s="37"/>
      <c r="L48" s="37"/>
      <c r="M48" s="36"/>
    </row>
    <row r="49" spans="1:13" ht="18.75" x14ac:dyDescent="0.3">
      <c r="A49" s="53"/>
      <c r="B49" s="53"/>
      <c r="C49" s="36"/>
      <c r="D49" s="37"/>
      <c r="E49" s="37"/>
      <c r="F49" s="37"/>
      <c r="G49" s="37"/>
      <c r="H49" s="37"/>
      <c r="I49" s="37"/>
      <c r="J49" s="37"/>
      <c r="K49" s="37"/>
      <c r="L49" s="37"/>
      <c r="M49" s="36"/>
    </row>
    <row r="50" spans="1:13" ht="18.75" x14ac:dyDescent="0.3">
      <c r="A50" s="53"/>
      <c r="B50" s="53"/>
      <c r="C50" s="36"/>
      <c r="D50" s="37"/>
      <c r="E50" s="37"/>
      <c r="F50" s="37"/>
      <c r="G50" s="37"/>
      <c r="H50" s="37"/>
      <c r="I50" s="37"/>
      <c r="J50" s="37"/>
      <c r="K50" s="37"/>
      <c r="L50" s="37"/>
      <c r="M50" s="36"/>
    </row>
    <row r="51" spans="1:13" ht="18.75" x14ac:dyDescent="0.3">
      <c r="A51" s="53"/>
      <c r="B51" s="53"/>
      <c r="C51" s="36"/>
      <c r="D51" s="37"/>
      <c r="E51" s="37"/>
      <c r="F51" s="37"/>
      <c r="G51" s="37"/>
      <c r="H51" s="37"/>
      <c r="I51" s="37"/>
      <c r="J51" s="37"/>
      <c r="K51" s="37"/>
      <c r="L51" s="37"/>
      <c r="M51" s="36"/>
    </row>
    <row r="52" spans="1:13" ht="18.75" x14ac:dyDescent="0.3">
      <c r="A52" s="53"/>
      <c r="B52" s="53"/>
      <c r="C52" s="36"/>
      <c r="D52" s="37"/>
      <c r="E52" s="37"/>
      <c r="F52" s="37"/>
      <c r="G52" s="37"/>
      <c r="H52" s="37"/>
      <c r="I52" s="37"/>
      <c r="J52" s="37"/>
      <c r="K52" s="37"/>
      <c r="L52" s="37"/>
      <c r="M52" s="36"/>
    </row>
    <row r="53" spans="1:13" ht="18.75" x14ac:dyDescent="0.3">
      <c r="A53" s="53"/>
      <c r="B53" s="53"/>
      <c r="C53" s="36"/>
      <c r="D53" s="37"/>
      <c r="E53" s="37"/>
      <c r="F53" s="37"/>
      <c r="G53" s="37"/>
      <c r="H53" s="37"/>
      <c r="I53" s="37"/>
      <c r="J53" s="37"/>
      <c r="K53" s="37"/>
      <c r="L53" s="37"/>
      <c r="M53" s="36"/>
    </row>
  </sheetData>
  <mergeCells count="2">
    <mergeCell ref="A8:B8"/>
    <mergeCell ref="A2:M2"/>
  </mergeCells>
  <pageMargins left="0.7" right="0.7" top="0.75" bottom="0.75" header="0.3" footer="0.3"/>
  <pageSetup scale="40"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pageSetUpPr fitToPage="1"/>
  </sheetPr>
  <dimension ref="A1:R51"/>
  <sheetViews>
    <sheetView topLeftCell="A7" workbookViewId="0">
      <selection activeCell="A16" sqref="A16:R21"/>
    </sheetView>
  </sheetViews>
  <sheetFormatPr defaultRowHeight="15" x14ac:dyDescent="0.25"/>
  <cols>
    <col min="1" max="1" width="30.7109375" bestFit="1" customWidth="1"/>
    <col min="18" max="18" width="60.28515625" customWidth="1"/>
  </cols>
  <sheetData>
    <row r="1" spans="1:18" ht="49.5" customHeight="1" x14ac:dyDescent="0.25">
      <c r="A1" s="686" t="s">
        <v>89</v>
      </c>
      <c r="B1" s="687"/>
      <c r="C1" s="687"/>
      <c r="D1" s="687"/>
      <c r="E1" s="687"/>
      <c r="F1" s="687"/>
      <c r="G1" s="687"/>
      <c r="H1" s="687"/>
      <c r="I1" s="687"/>
      <c r="J1" s="687"/>
      <c r="K1" s="687"/>
      <c r="L1" s="687"/>
      <c r="M1" s="687"/>
      <c r="N1" s="687"/>
      <c r="O1" s="687"/>
      <c r="P1" s="687"/>
      <c r="Q1" s="687"/>
      <c r="R1" s="688"/>
    </row>
    <row r="2" spans="1:18" x14ac:dyDescent="0.25">
      <c r="A2" s="5" t="s">
        <v>90</v>
      </c>
      <c r="B2" s="692" t="s">
        <v>99</v>
      </c>
      <c r="C2" s="693"/>
      <c r="D2" s="693"/>
      <c r="E2" s="693"/>
      <c r="F2" s="693"/>
      <c r="G2" s="693"/>
      <c r="H2" s="693"/>
      <c r="I2" s="693"/>
      <c r="J2" s="693"/>
      <c r="K2" s="693"/>
      <c r="L2" s="693"/>
      <c r="M2" s="693"/>
      <c r="N2" s="693"/>
      <c r="O2" s="693"/>
      <c r="P2" s="693"/>
      <c r="Q2" s="693"/>
      <c r="R2" s="694"/>
    </row>
    <row r="3" spans="1:18" x14ac:dyDescent="0.25">
      <c r="A3" s="4"/>
      <c r="B3" s="748" t="s">
        <v>140</v>
      </c>
      <c r="C3" s="749"/>
      <c r="D3" s="749"/>
      <c r="E3" s="749"/>
      <c r="F3" s="749"/>
      <c r="G3" s="749"/>
      <c r="H3" s="749"/>
      <c r="I3" s="749"/>
      <c r="J3" s="749"/>
      <c r="K3" s="749"/>
      <c r="L3" s="749"/>
      <c r="M3" s="749"/>
      <c r="N3" s="749"/>
      <c r="O3" s="749"/>
      <c r="P3" s="749"/>
      <c r="Q3" s="749"/>
      <c r="R3" s="750"/>
    </row>
    <row r="4" spans="1:18" x14ac:dyDescent="0.25">
      <c r="A4" s="72" t="s">
        <v>142</v>
      </c>
      <c r="B4" s="748" t="s">
        <v>141</v>
      </c>
      <c r="C4" s="749"/>
      <c r="D4" s="749"/>
      <c r="E4" s="749"/>
      <c r="F4" s="749"/>
      <c r="G4" s="749"/>
      <c r="H4" s="749"/>
      <c r="I4" s="749"/>
      <c r="J4" s="749"/>
      <c r="K4" s="749"/>
      <c r="L4" s="749"/>
      <c r="M4" s="749"/>
      <c r="N4" s="749"/>
      <c r="O4" s="749"/>
      <c r="P4" s="749"/>
      <c r="Q4" s="749"/>
      <c r="R4" s="750"/>
    </row>
    <row r="5" spans="1:18" x14ac:dyDescent="0.25">
      <c r="A5" s="4"/>
      <c r="B5" s="765" t="s">
        <v>98</v>
      </c>
      <c r="C5" s="766"/>
      <c r="D5" s="766"/>
      <c r="E5" s="766"/>
      <c r="F5" s="766"/>
      <c r="G5" s="766"/>
      <c r="H5" s="766"/>
      <c r="I5" s="766"/>
      <c r="J5" s="766"/>
      <c r="K5" s="766"/>
      <c r="L5" s="766"/>
      <c r="M5" s="766"/>
      <c r="N5" s="766"/>
      <c r="O5" s="766"/>
      <c r="P5" s="766"/>
      <c r="Q5" s="766"/>
      <c r="R5" s="767"/>
    </row>
    <row r="6" spans="1:18" ht="15.75" thickBot="1" x14ac:dyDescent="0.3">
      <c r="A6" s="4"/>
      <c r="B6" s="748"/>
      <c r="C6" s="749"/>
      <c r="D6" s="749"/>
      <c r="E6" s="749"/>
      <c r="F6" s="749"/>
      <c r="G6" s="749"/>
      <c r="H6" s="749"/>
      <c r="I6" s="749"/>
      <c r="J6" s="749"/>
      <c r="K6" s="749"/>
      <c r="L6" s="749"/>
      <c r="M6" s="749"/>
      <c r="N6" s="749"/>
      <c r="O6" s="749"/>
      <c r="P6" s="749"/>
      <c r="Q6" s="749"/>
      <c r="R6" s="750"/>
    </row>
    <row r="7" spans="1:18" ht="15.75" customHeight="1" thickBot="1" x14ac:dyDescent="0.3">
      <c r="A7" s="704" t="s">
        <v>403</v>
      </c>
      <c r="B7" s="705"/>
      <c r="C7" s="705"/>
      <c r="D7" s="705"/>
      <c r="E7" s="705"/>
      <c r="F7" s="705"/>
      <c r="G7" s="705"/>
      <c r="H7" s="705"/>
      <c r="I7" s="705"/>
      <c r="J7" s="705"/>
      <c r="K7" s="705"/>
      <c r="L7" s="705"/>
      <c r="M7" s="705"/>
      <c r="N7" s="705"/>
      <c r="O7" s="705"/>
      <c r="P7" s="705"/>
      <c r="Q7" s="705"/>
      <c r="R7" s="706"/>
    </row>
    <row r="8" spans="1:18" x14ac:dyDescent="0.25">
      <c r="A8" s="756" t="s">
        <v>530</v>
      </c>
      <c r="B8" s="757"/>
      <c r="C8" s="757"/>
      <c r="D8" s="757"/>
      <c r="E8" s="757"/>
      <c r="F8" s="757"/>
      <c r="G8" s="757"/>
      <c r="H8" s="757"/>
      <c r="I8" s="757"/>
      <c r="J8" s="757"/>
      <c r="K8" s="757"/>
      <c r="L8" s="757"/>
      <c r="M8" s="757"/>
      <c r="N8" s="757"/>
      <c r="O8" s="757"/>
      <c r="P8" s="757"/>
      <c r="Q8" s="757"/>
      <c r="R8" s="758"/>
    </row>
    <row r="9" spans="1:18" x14ac:dyDescent="0.25">
      <c r="A9" s="759"/>
      <c r="B9" s="760"/>
      <c r="C9" s="760"/>
      <c r="D9" s="760"/>
      <c r="E9" s="760"/>
      <c r="F9" s="760"/>
      <c r="G9" s="760"/>
      <c r="H9" s="760"/>
      <c r="I9" s="760"/>
      <c r="J9" s="760"/>
      <c r="K9" s="760"/>
      <c r="L9" s="760"/>
      <c r="M9" s="760"/>
      <c r="N9" s="760"/>
      <c r="O9" s="760"/>
      <c r="P9" s="760"/>
      <c r="Q9" s="760"/>
      <c r="R9" s="761"/>
    </row>
    <row r="10" spans="1:18" x14ac:dyDescent="0.25">
      <c r="A10" s="759"/>
      <c r="B10" s="760"/>
      <c r="C10" s="760"/>
      <c r="D10" s="760"/>
      <c r="E10" s="760"/>
      <c r="F10" s="760"/>
      <c r="G10" s="760"/>
      <c r="H10" s="760"/>
      <c r="I10" s="760"/>
      <c r="J10" s="760"/>
      <c r="K10" s="760"/>
      <c r="L10" s="760"/>
      <c r="M10" s="760"/>
      <c r="N10" s="760"/>
      <c r="O10" s="760"/>
      <c r="P10" s="760"/>
      <c r="Q10" s="760"/>
      <c r="R10" s="761"/>
    </row>
    <row r="11" spans="1:18" x14ac:dyDescent="0.25">
      <c r="A11" s="759"/>
      <c r="B11" s="760"/>
      <c r="C11" s="760"/>
      <c r="D11" s="760"/>
      <c r="E11" s="760"/>
      <c r="F11" s="760"/>
      <c r="G11" s="760"/>
      <c r="H11" s="760"/>
      <c r="I11" s="760"/>
      <c r="J11" s="760"/>
      <c r="K11" s="760"/>
      <c r="L11" s="760"/>
      <c r="M11" s="760"/>
      <c r="N11" s="760"/>
      <c r="O11" s="760"/>
      <c r="P11" s="760"/>
      <c r="Q11" s="760"/>
      <c r="R11" s="761"/>
    </row>
    <row r="12" spans="1:18" x14ac:dyDescent="0.25">
      <c r="A12" s="759"/>
      <c r="B12" s="760"/>
      <c r="C12" s="760"/>
      <c r="D12" s="760"/>
      <c r="E12" s="760"/>
      <c r="F12" s="760"/>
      <c r="G12" s="760"/>
      <c r="H12" s="760"/>
      <c r="I12" s="760"/>
      <c r="J12" s="760"/>
      <c r="K12" s="760"/>
      <c r="L12" s="760"/>
      <c r="M12" s="760"/>
      <c r="N12" s="760"/>
      <c r="O12" s="760"/>
      <c r="P12" s="760"/>
      <c r="Q12" s="760"/>
      <c r="R12" s="761"/>
    </row>
    <row r="13" spans="1:18" ht="216.75" customHeight="1" thickBot="1" x14ac:dyDescent="0.3">
      <c r="A13" s="762"/>
      <c r="B13" s="763"/>
      <c r="C13" s="763"/>
      <c r="D13" s="763"/>
      <c r="E13" s="763"/>
      <c r="F13" s="763"/>
      <c r="G13" s="763"/>
      <c r="H13" s="763"/>
      <c r="I13" s="763"/>
      <c r="J13" s="763"/>
      <c r="K13" s="763"/>
      <c r="L13" s="763"/>
      <c r="M13" s="763"/>
      <c r="N13" s="763"/>
      <c r="O13" s="763"/>
      <c r="P13" s="763"/>
      <c r="Q13" s="763"/>
      <c r="R13" s="764"/>
    </row>
    <row r="14" spans="1:18" ht="15.75" thickBot="1" x14ac:dyDescent="0.3">
      <c r="A14" s="704" t="s">
        <v>100</v>
      </c>
      <c r="B14" s="705"/>
      <c r="C14" s="705"/>
      <c r="D14" s="705"/>
      <c r="E14" s="705"/>
      <c r="F14" s="705"/>
      <c r="G14" s="705"/>
      <c r="H14" s="705"/>
      <c r="I14" s="705"/>
      <c r="J14" s="705"/>
      <c r="K14" s="705"/>
      <c r="L14" s="705"/>
      <c r="M14" s="705"/>
      <c r="N14" s="705"/>
      <c r="O14" s="705"/>
      <c r="P14" s="705"/>
      <c r="Q14" s="705"/>
      <c r="R14" s="706"/>
    </row>
    <row r="15" spans="1:18" ht="15.75" thickBot="1" x14ac:dyDescent="0.3">
      <c r="A15" s="704" t="s">
        <v>88</v>
      </c>
      <c r="B15" s="705"/>
      <c r="C15" s="705"/>
      <c r="D15" s="705"/>
      <c r="E15" s="705"/>
      <c r="F15" s="705"/>
      <c r="G15" s="705"/>
      <c r="H15" s="705"/>
      <c r="I15" s="705"/>
      <c r="J15" s="705"/>
      <c r="K15" s="705"/>
      <c r="L15" s="705"/>
      <c r="M15" s="705"/>
      <c r="N15" s="705"/>
      <c r="O15" s="705"/>
      <c r="P15" s="705"/>
      <c r="Q15" s="705"/>
      <c r="R15" s="706"/>
    </row>
    <row r="16" spans="1:18" x14ac:dyDescent="0.25">
      <c r="A16" s="756" t="s">
        <v>123</v>
      </c>
      <c r="B16" s="757"/>
      <c r="C16" s="757"/>
      <c r="D16" s="757"/>
      <c r="E16" s="757"/>
      <c r="F16" s="757"/>
      <c r="G16" s="757"/>
      <c r="H16" s="757"/>
      <c r="I16" s="757"/>
      <c r="J16" s="757"/>
      <c r="K16" s="757"/>
      <c r="L16" s="757"/>
      <c r="M16" s="757"/>
      <c r="N16" s="757"/>
      <c r="O16" s="757"/>
      <c r="P16" s="757"/>
      <c r="Q16" s="757"/>
      <c r="R16" s="758"/>
    </row>
    <row r="17" spans="1:18" x14ac:dyDescent="0.25">
      <c r="A17" s="759"/>
      <c r="B17" s="760"/>
      <c r="C17" s="760"/>
      <c r="D17" s="760"/>
      <c r="E17" s="760"/>
      <c r="F17" s="760"/>
      <c r="G17" s="760"/>
      <c r="H17" s="760"/>
      <c r="I17" s="760"/>
      <c r="J17" s="760"/>
      <c r="K17" s="760"/>
      <c r="L17" s="760"/>
      <c r="M17" s="760"/>
      <c r="N17" s="760"/>
      <c r="O17" s="760"/>
      <c r="P17" s="760"/>
      <c r="Q17" s="760"/>
      <c r="R17" s="761"/>
    </row>
    <row r="18" spans="1:18" x14ac:dyDescent="0.25">
      <c r="A18" s="759"/>
      <c r="B18" s="760"/>
      <c r="C18" s="760"/>
      <c r="D18" s="760"/>
      <c r="E18" s="760"/>
      <c r="F18" s="760"/>
      <c r="G18" s="760"/>
      <c r="H18" s="760"/>
      <c r="I18" s="760"/>
      <c r="J18" s="760"/>
      <c r="K18" s="760"/>
      <c r="L18" s="760"/>
      <c r="M18" s="760"/>
      <c r="N18" s="760"/>
      <c r="O18" s="760"/>
      <c r="P18" s="760"/>
      <c r="Q18" s="760"/>
      <c r="R18" s="761"/>
    </row>
    <row r="19" spans="1:18" x14ac:dyDescent="0.25">
      <c r="A19" s="759"/>
      <c r="B19" s="760"/>
      <c r="C19" s="760"/>
      <c r="D19" s="760"/>
      <c r="E19" s="760"/>
      <c r="F19" s="760"/>
      <c r="G19" s="760"/>
      <c r="H19" s="760"/>
      <c r="I19" s="760"/>
      <c r="J19" s="760"/>
      <c r="K19" s="760"/>
      <c r="L19" s="760"/>
      <c r="M19" s="760"/>
      <c r="N19" s="760"/>
      <c r="O19" s="760"/>
      <c r="P19" s="760"/>
      <c r="Q19" s="760"/>
      <c r="R19" s="761"/>
    </row>
    <row r="20" spans="1:18" x14ac:dyDescent="0.25">
      <c r="A20" s="759"/>
      <c r="B20" s="760"/>
      <c r="C20" s="760"/>
      <c r="D20" s="760"/>
      <c r="E20" s="760"/>
      <c r="F20" s="760"/>
      <c r="G20" s="760"/>
      <c r="H20" s="760"/>
      <c r="I20" s="760"/>
      <c r="J20" s="760"/>
      <c r="K20" s="760"/>
      <c r="L20" s="760"/>
      <c r="M20" s="760"/>
      <c r="N20" s="760"/>
      <c r="O20" s="760"/>
      <c r="P20" s="760"/>
      <c r="Q20" s="760"/>
      <c r="R20" s="761"/>
    </row>
    <row r="21" spans="1:18" ht="15.75" thickBot="1" x14ac:dyDescent="0.3">
      <c r="A21" s="762"/>
      <c r="B21" s="763"/>
      <c r="C21" s="763"/>
      <c r="D21" s="763"/>
      <c r="E21" s="763"/>
      <c r="F21" s="763"/>
      <c r="G21" s="763"/>
      <c r="H21" s="763"/>
      <c r="I21" s="763"/>
      <c r="J21" s="763"/>
      <c r="K21" s="763"/>
      <c r="L21" s="763"/>
      <c r="M21" s="763"/>
      <c r="N21" s="763"/>
      <c r="O21" s="763"/>
      <c r="P21" s="763"/>
      <c r="Q21" s="763"/>
      <c r="R21" s="764"/>
    </row>
    <row r="22" spans="1:18" ht="15.75" thickBot="1" x14ac:dyDescent="0.3">
      <c r="A22" s="704" t="s">
        <v>100</v>
      </c>
      <c r="B22" s="705"/>
      <c r="C22" s="705"/>
      <c r="D22" s="705"/>
      <c r="E22" s="705"/>
      <c r="F22" s="705"/>
      <c r="G22" s="705"/>
      <c r="H22" s="705"/>
      <c r="I22" s="705"/>
      <c r="J22" s="705"/>
      <c r="K22" s="705"/>
      <c r="L22" s="705"/>
      <c r="M22" s="705"/>
      <c r="N22" s="705"/>
      <c r="O22" s="705"/>
      <c r="P22" s="705"/>
      <c r="Q22" s="705"/>
      <c r="R22" s="706"/>
    </row>
    <row r="23" spans="1:18" ht="15" customHeight="1" x14ac:dyDescent="0.25">
      <c r="A23" s="695" t="s">
        <v>531</v>
      </c>
      <c r="B23" s="696"/>
      <c r="C23" s="696"/>
      <c r="D23" s="696"/>
      <c r="E23" s="696"/>
      <c r="F23" s="696"/>
      <c r="G23" s="696"/>
      <c r="H23" s="696"/>
      <c r="I23" s="696"/>
      <c r="J23" s="696"/>
      <c r="K23" s="696"/>
      <c r="L23" s="696"/>
      <c r="M23" s="696"/>
      <c r="N23" s="696"/>
      <c r="O23" s="696"/>
      <c r="P23" s="696"/>
      <c r="Q23" s="696"/>
      <c r="R23" s="697"/>
    </row>
    <row r="24" spans="1:18" x14ac:dyDescent="0.25">
      <c r="A24" s="698"/>
      <c r="B24" s="699"/>
      <c r="C24" s="699"/>
      <c r="D24" s="699"/>
      <c r="E24" s="699"/>
      <c r="F24" s="699"/>
      <c r="G24" s="699"/>
      <c r="H24" s="699"/>
      <c r="I24" s="699"/>
      <c r="J24" s="699"/>
      <c r="K24" s="699"/>
      <c r="L24" s="699"/>
      <c r="M24" s="699"/>
      <c r="N24" s="699"/>
      <c r="O24" s="699"/>
      <c r="P24" s="699"/>
      <c r="Q24" s="699"/>
      <c r="R24" s="700"/>
    </row>
    <row r="25" spans="1:18" x14ac:dyDescent="0.25">
      <c r="A25" s="698"/>
      <c r="B25" s="699"/>
      <c r="C25" s="699"/>
      <c r="D25" s="699"/>
      <c r="E25" s="699"/>
      <c r="F25" s="699"/>
      <c r="G25" s="699"/>
      <c r="H25" s="699"/>
      <c r="I25" s="699"/>
      <c r="J25" s="699"/>
      <c r="K25" s="699"/>
      <c r="L25" s="699"/>
      <c r="M25" s="699"/>
      <c r="N25" s="699"/>
      <c r="O25" s="699"/>
      <c r="P25" s="699"/>
      <c r="Q25" s="699"/>
      <c r="R25" s="700"/>
    </row>
    <row r="26" spans="1:18" x14ac:dyDescent="0.25">
      <c r="A26" s="698"/>
      <c r="B26" s="699"/>
      <c r="C26" s="699"/>
      <c r="D26" s="699"/>
      <c r="E26" s="699"/>
      <c r="F26" s="699"/>
      <c r="G26" s="699"/>
      <c r="H26" s="699"/>
      <c r="I26" s="699"/>
      <c r="J26" s="699"/>
      <c r="K26" s="699"/>
      <c r="L26" s="699"/>
      <c r="M26" s="699"/>
      <c r="N26" s="699"/>
      <c r="O26" s="699"/>
      <c r="P26" s="699"/>
      <c r="Q26" s="699"/>
      <c r="R26" s="700"/>
    </row>
    <row r="27" spans="1:18" x14ac:dyDescent="0.25">
      <c r="A27" s="698"/>
      <c r="B27" s="699"/>
      <c r="C27" s="699"/>
      <c r="D27" s="699"/>
      <c r="E27" s="699"/>
      <c r="F27" s="699"/>
      <c r="G27" s="699"/>
      <c r="H27" s="699"/>
      <c r="I27" s="699"/>
      <c r="J27" s="699"/>
      <c r="K27" s="699"/>
      <c r="L27" s="699"/>
      <c r="M27" s="699"/>
      <c r="N27" s="699"/>
      <c r="O27" s="699"/>
      <c r="P27" s="699"/>
      <c r="Q27" s="699"/>
      <c r="R27" s="700"/>
    </row>
    <row r="28" spans="1:18" x14ac:dyDescent="0.25">
      <c r="A28" s="698"/>
      <c r="B28" s="699"/>
      <c r="C28" s="699"/>
      <c r="D28" s="699"/>
      <c r="E28" s="699"/>
      <c r="F28" s="699"/>
      <c r="G28" s="699"/>
      <c r="H28" s="699"/>
      <c r="I28" s="699"/>
      <c r="J28" s="699"/>
      <c r="K28" s="699"/>
      <c r="L28" s="699"/>
      <c r="M28" s="699"/>
      <c r="N28" s="699"/>
      <c r="O28" s="699"/>
      <c r="P28" s="699"/>
      <c r="Q28" s="699"/>
      <c r="R28" s="700"/>
    </row>
    <row r="29" spans="1:18" x14ac:dyDescent="0.25">
      <c r="A29" s="698"/>
      <c r="B29" s="699"/>
      <c r="C29" s="699"/>
      <c r="D29" s="699"/>
      <c r="E29" s="699"/>
      <c r="F29" s="699"/>
      <c r="G29" s="699"/>
      <c r="H29" s="699"/>
      <c r="I29" s="699"/>
      <c r="J29" s="699"/>
      <c r="K29" s="699"/>
      <c r="L29" s="699"/>
      <c r="M29" s="699"/>
      <c r="N29" s="699"/>
      <c r="O29" s="699"/>
      <c r="P29" s="699"/>
      <c r="Q29" s="699"/>
      <c r="R29" s="700"/>
    </row>
    <row r="30" spans="1:18" x14ac:dyDescent="0.25">
      <c r="A30" s="698"/>
      <c r="B30" s="699"/>
      <c r="C30" s="699"/>
      <c r="D30" s="699"/>
      <c r="E30" s="699"/>
      <c r="F30" s="699"/>
      <c r="G30" s="699"/>
      <c r="H30" s="699"/>
      <c r="I30" s="699"/>
      <c r="J30" s="699"/>
      <c r="K30" s="699"/>
      <c r="L30" s="699"/>
      <c r="M30" s="699"/>
      <c r="N30" s="699"/>
      <c r="O30" s="699"/>
      <c r="P30" s="699"/>
      <c r="Q30" s="699"/>
      <c r="R30" s="700"/>
    </row>
    <row r="31" spans="1:18" x14ac:dyDescent="0.25">
      <c r="A31" s="698"/>
      <c r="B31" s="699"/>
      <c r="C31" s="699"/>
      <c r="D31" s="699"/>
      <c r="E31" s="699"/>
      <c r="F31" s="699"/>
      <c r="G31" s="699"/>
      <c r="H31" s="699"/>
      <c r="I31" s="699"/>
      <c r="J31" s="699"/>
      <c r="K31" s="699"/>
      <c r="L31" s="699"/>
      <c r="M31" s="699"/>
      <c r="N31" s="699"/>
      <c r="O31" s="699"/>
      <c r="P31" s="699"/>
      <c r="Q31" s="699"/>
      <c r="R31" s="700"/>
    </row>
    <row r="32" spans="1:18" x14ac:dyDescent="0.25">
      <c r="A32" s="698"/>
      <c r="B32" s="699"/>
      <c r="C32" s="699"/>
      <c r="D32" s="699"/>
      <c r="E32" s="699"/>
      <c r="F32" s="699"/>
      <c r="G32" s="699"/>
      <c r="H32" s="699"/>
      <c r="I32" s="699"/>
      <c r="J32" s="699"/>
      <c r="K32" s="699"/>
      <c r="L32" s="699"/>
      <c r="M32" s="699"/>
      <c r="N32" s="699"/>
      <c r="O32" s="699"/>
      <c r="P32" s="699"/>
      <c r="Q32" s="699"/>
      <c r="R32" s="700"/>
    </row>
    <row r="33" spans="1:18" x14ac:dyDescent="0.25">
      <c r="A33" s="698"/>
      <c r="B33" s="699"/>
      <c r="C33" s="699"/>
      <c r="D33" s="699"/>
      <c r="E33" s="699"/>
      <c r="F33" s="699"/>
      <c r="G33" s="699"/>
      <c r="H33" s="699"/>
      <c r="I33" s="699"/>
      <c r="J33" s="699"/>
      <c r="K33" s="699"/>
      <c r="L33" s="699"/>
      <c r="M33" s="699"/>
      <c r="N33" s="699"/>
      <c r="O33" s="699"/>
      <c r="P33" s="699"/>
      <c r="Q33" s="699"/>
      <c r="R33" s="700"/>
    </row>
    <row r="34" spans="1:18" x14ac:dyDescent="0.25">
      <c r="A34" s="698"/>
      <c r="B34" s="699"/>
      <c r="C34" s="699"/>
      <c r="D34" s="699"/>
      <c r="E34" s="699"/>
      <c r="F34" s="699"/>
      <c r="G34" s="699"/>
      <c r="H34" s="699"/>
      <c r="I34" s="699"/>
      <c r="J34" s="699"/>
      <c r="K34" s="699"/>
      <c r="L34" s="699"/>
      <c r="M34" s="699"/>
      <c r="N34" s="699"/>
      <c r="O34" s="699"/>
      <c r="P34" s="699"/>
      <c r="Q34" s="699"/>
      <c r="R34" s="700"/>
    </row>
    <row r="35" spans="1:18" x14ac:dyDescent="0.25">
      <c r="A35" s="698"/>
      <c r="B35" s="699"/>
      <c r="C35" s="699"/>
      <c r="D35" s="699"/>
      <c r="E35" s="699"/>
      <c r="F35" s="699"/>
      <c r="G35" s="699"/>
      <c r="H35" s="699"/>
      <c r="I35" s="699"/>
      <c r="J35" s="699"/>
      <c r="K35" s="699"/>
      <c r="L35" s="699"/>
      <c r="M35" s="699"/>
      <c r="N35" s="699"/>
      <c r="O35" s="699"/>
      <c r="P35" s="699"/>
      <c r="Q35" s="699"/>
      <c r="R35" s="700"/>
    </row>
    <row r="36" spans="1:18" x14ac:dyDescent="0.25">
      <c r="A36" s="751"/>
      <c r="B36" s="538"/>
      <c r="C36" s="538"/>
      <c r="D36" s="538"/>
      <c r="E36" s="538"/>
      <c r="F36" s="538"/>
      <c r="G36" s="538"/>
      <c r="H36" s="538"/>
      <c r="I36" s="538"/>
      <c r="J36" s="538"/>
      <c r="K36" s="538"/>
      <c r="L36" s="538"/>
      <c r="M36" s="538"/>
      <c r="N36" s="538"/>
      <c r="O36" s="538"/>
      <c r="P36" s="538"/>
      <c r="Q36" s="538"/>
      <c r="R36" s="752"/>
    </row>
    <row r="37" spans="1:18" x14ac:dyDescent="0.25">
      <c r="A37" s="751"/>
      <c r="B37" s="538"/>
      <c r="C37" s="538"/>
      <c r="D37" s="538"/>
      <c r="E37" s="538"/>
      <c r="F37" s="538"/>
      <c r="G37" s="538"/>
      <c r="H37" s="538"/>
      <c r="I37" s="538"/>
      <c r="J37" s="538"/>
      <c r="K37" s="538"/>
      <c r="L37" s="538"/>
      <c r="M37" s="538"/>
      <c r="N37" s="538"/>
      <c r="O37" s="538"/>
      <c r="P37" s="538"/>
      <c r="Q37" s="538"/>
      <c r="R37" s="752"/>
    </row>
    <row r="38" spans="1:18" x14ac:dyDescent="0.25">
      <c r="A38" s="751"/>
      <c r="B38" s="538"/>
      <c r="C38" s="538"/>
      <c r="D38" s="538"/>
      <c r="E38" s="538"/>
      <c r="F38" s="538"/>
      <c r="G38" s="538"/>
      <c r="H38" s="538"/>
      <c r="I38" s="538"/>
      <c r="J38" s="538"/>
      <c r="K38" s="538"/>
      <c r="L38" s="538"/>
      <c r="M38" s="538"/>
      <c r="N38" s="538"/>
      <c r="O38" s="538"/>
      <c r="P38" s="538"/>
      <c r="Q38" s="538"/>
      <c r="R38" s="752"/>
    </row>
    <row r="39" spans="1:18" x14ac:dyDescent="0.25">
      <c r="A39" s="751"/>
      <c r="B39" s="538"/>
      <c r="C39" s="538"/>
      <c r="D39" s="538"/>
      <c r="E39" s="538"/>
      <c r="F39" s="538"/>
      <c r="G39" s="538"/>
      <c r="H39" s="538"/>
      <c r="I39" s="538"/>
      <c r="J39" s="538"/>
      <c r="K39" s="538"/>
      <c r="L39" s="538"/>
      <c r="M39" s="538"/>
      <c r="N39" s="538"/>
      <c r="O39" s="538"/>
      <c r="P39" s="538"/>
      <c r="Q39" s="538"/>
      <c r="R39" s="752"/>
    </row>
    <row r="40" spans="1:18" x14ac:dyDescent="0.25">
      <c r="A40" s="751"/>
      <c r="B40" s="538"/>
      <c r="C40" s="538"/>
      <c r="D40" s="538"/>
      <c r="E40" s="538"/>
      <c r="F40" s="538"/>
      <c r="G40" s="538"/>
      <c r="H40" s="538"/>
      <c r="I40" s="538"/>
      <c r="J40" s="538"/>
      <c r="K40" s="538"/>
      <c r="L40" s="538"/>
      <c r="M40" s="538"/>
      <c r="N40" s="538"/>
      <c r="O40" s="538"/>
      <c r="P40" s="538"/>
      <c r="Q40" s="538"/>
      <c r="R40" s="752"/>
    </row>
    <row r="41" spans="1:18" x14ac:dyDescent="0.25">
      <c r="A41" s="751"/>
      <c r="B41" s="538"/>
      <c r="C41" s="538"/>
      <c r="D41" s="538"/>
      <c r="E41" s="538"/>
      <c r="F41" s="538"/>
      <c r="G41" s="538"/>
      <c r="H41" s="538"/>
      <c r="I41" s="538"/>
      <c r="J41" s="538"/>
      <c r="K41" s="538"/>
      <c r="L41" s="538"/>
      <c r="M41" s="538"/>
      <c r="N41" s="538"/>
      <c r="O41" s="538"/>
      <c r="P41" s="538"/>
      <c r="Q41" s="538"/>
      <c r="R41" s="752"/>
    </row>
    <row r="42" spans="1:18" x14ac:dyDescent="0.25">
      <c r="A42" s="751"/>
      <c r="B42" s="538"/>
      <c r="C42" s="538"/>
      <c r="D42" s="538"/>
      <c r="E42" s="538"/>
      <c r="F42" s="538"/>
      <c r="G42" s="538"/>
      <c r="H42" s="538"/>
      <c r="I42" s="538"/>
      <c r="J42" s="538"/>
      <c r="K42" s="538"/>
      <c r="L42" s="538"/>
      <c r="M42" s="538"/>
      <c r="N42" s="538"/>
      <c r="O42" s="538"/>
      <c r="P42" s="538"/>
      <c r="Q42" s="538"/>
      <c r="R42" s="752"/>
    </row>
    <row r="43" spans="1:18" x14ac:dyDescent="0.25">
      <c r="A43" s="751"/>
      <c r="B43" s="538"/>
      <c r="C43" s="538"/>
      <c r="D43" s="538"/>
      <c r="E43" s="538"/>
      <c r="F43" s="538"/>
      <c r="G43" s="538"/>
      <c r="H43" s="538"/>
      <c r="I43" s="538"/>
      <c r="J43" s="538"/>
      <c r="K43" s="538"/>
      <c r="L43" s="538"/>
      <c r="M43" s="538"/>
      <c r="N43" s="538"/>
      <c r="O43" s="538"/>
      <c r="P43" s="538"/>
      <c r="Q43" s="538"/>
      <c r="R43" s="752"/>
    </row>
    <row r="44" spans="1:18" x14ac:dyDescent="0.25">
      <c r="A44" s="751"/>
      <c r="B44" s="538"/>
      <c r="C44" s="538"/>
      <c r="D44" s="538"/>
      <c r="E44" s="538"/>
      <c r="F44" s="538"/>
      <c r="G44" s="538"/>
      <c r="H44" s="538"/>
      <c r="I44" s="538"/>
      <c r="J44" s="538"/>
      <c r="K44" s="538"/>
      <c r="L44" s="538"/>
      <c r="M44" s="538"/>
      <c r="N44" s="538"/>
      <c r="O44" s="538"/>
      <c r="P44" s="538"/>
      <c r="Q44" s="538"/>
      <c r="R44" s="752"/>
    </row>
    <row r="45" spans="1:18" x14ac:dyDescent="0.25">
      <c r="A45" s="751"/>
      <c r="B45" s="538"/>
      <c r="C45" s="538"/>
      <c r="D45" s="538"/>
      <c r="E45" s="538"/>
      <c r="F45" s="538"/>
      <c r="G45" s="538"/>
      <c r="H45" s="538"/>
      <c r="I45" s="538"/>
      <c r="J45" s="538"/>
      <c r="K45" s="538"/>
      <c r="L45" s="538"/>
      <c r="M45" s="538"/>
      <c r="N45" s="538"/>
      <c r="O45" s="538"/>
      <c r="P45" s="538"/>
      <c r="Q45" s="538"/>
      <c r="R45" s="752"/>
    </row>
    <row r="46" spans="1:18" x14ac:dyDescent="0.25">
      <c r="A46" s="751"/>
      <c r="B46" s="538"/>
      <c r="C46" s="538"/>
      <c r="D46" s="538"/>
      <c r="E46" s="538"/>
      <c r="F46" s="538"/>
      <c r="G46" s="538"/>
      <c r="H46" s="538"/>
      <c r="I46" s="538"/>
      <c r="J46" s="538"/>
      <c r="K46" s="538"/>
      <c r="L46" s="538"/>
      <c r="M46" s="538"/>
      <c r="N46" s="538"/>
      <c r="O46" s="538"/>
      <c r="P46" s="538"/>
      <c r="Q46" s="538"/>
      <c r="R46" s="752"/>
    </row>
    <row r="47" spans="1:18" x14ac:dyDescent="0.25">
      <c r="A47" s="751"/>
      <c r="B47" s="538"/>
      <c r="C47" s="538"/>
      <c r="D47" s="538"/>
      <c r="E47" s="538"/>
      <c r="F47" s="538"/>
      <c r="G47" s="538"/>
      <c r="H47" s="538"/>
      <c r="I47" s="538"/>
      <c r="J47" s="538"/>
      <c r="K47" s="538"/>
      <c r="L47" s="538"/>
      <c r="M47" s="538"/>
      <c r="N47" s="538"/>
      <c r="O47" s="538"/>
      <c r="P47" s="538"/>
      <c r="Q47" s="538"/>
      <c r="R47" s="752"/>
    </row>
    <row r="48" spans="1:18" x14ac:dyDescent="0.25">
      <c r="A48" s="751"/>
      <c r="B48" s="538"/>
      <c r="C48" s="538"/>
      <c r="D48" s="538"/>
      <c r="E48" s="538"/>
      <c r="F48" s="538"/>
      <c r="G48" s="538"/>
      <c r="H48" s="538"/>
      <c r="I48" s="538"/>
      <c r="J48" s="538"/>
      <c r="K48" s="538"/>
      <c r="L48" s="538"/>
      <c r="M48" s="538"/>
      <c r="N48" s="538"/>
      <c r="O48" s="538"/>
      <c r="P48" s="538"/>
      <c r="Q48" s="538"/>
      <c r="R48" s="752"/>
    </row>
    <row r="49" spans="1:18" x14ac:dyDescent="0.25">
      <c r="A49" s="751"/>
      <c r="B49" s="538"/>
      <c r="C49" s="538"/>
      <c r="D49" s="538"/>
      <c r="E49" s="538"/>
      <c r="F49" s="538"/>
      <c r="G49" s="538"/>
      <c r="H49" s="538"/>
      <c r="I49" s="538"/>
      <c r="J49" s="538"/>
      <c r="K49" s="538"/>
      <c r="L49" s="538"/>
      <c r="M49" s="538"/>
      <c r="N49" s="538"/>
      <c r="O49" s="538"/>
      <c r="P49" s="538"/>
      <c r="Q49" s="538"/>
      <c r="R49" s="752"/>
    </row>
    <row r="50" spans="1:18" x14ac:dyDescent="0.25">
      <c r="A50" s="751"/>
      <c r="B50" s="538"/>
      <c r="C50" s="538"/>
      <c r="D50" s="538"/>
      <c r="E50" s="538"/>
      <c r="F50" s="538"/>
      <c r="G50" s="538"/>
      <c r="H50" s="538"/>
      <c r="I50" s="538"/>
      <c r="J50" s="538"/>
      <c r="K50" s="538"/>
      <c r="L50" s="538"/>
      <c r="M50" s="538"/>
      <c r="N50" s="538"/>
      <c r="O50" s="538"/>
      <c r="P50" s="538"/>
      <c r="Q50" s="538"/>
      <c r="R50" s="752"/>
    </row>
    <row r="51" spans="1:18" ht="15.75" thickBot="1" x14ac:dyDescent="0.3">
      <c r="A51" s="753"/>
      <c r="B51" s="754"/>
      <c r="C51" s="754"/>
      <c r="D51" s="754"/>
      <c r="E51" s="754"/>
      <c r="F51" s="754"/>
      <c r="G51" s="754"/>
      <c r="H51" s="754"/>
      <c r="I51" s="754"/>
      <c r="J51" s="754"/>
      <c r="K51" s="754"/>
      <c r="L51" s="754"/>
      <c r="M51" s="754"/>
      <c r="N51" s="754"/>
      <c r="O51" s="754"/>
      <c r="P51" s="754"/>
      <c r="Q51" s="754"/>
      <c r="R51" s="755"/>
    </row>
  </sheetData>
  <mergeCells count="13">
    <mergeCell ref="A23:R51"/>
    <mergeCell ref="A16:R21"/>
    <mergeCell ref="A22:R22"/>
    <mergeCell ref="B4:R4"/>
    <mergeCell ref="A1:R1"/>
    <mergeCell ref="B2:R2"/>
    <mergeCell ref="B3:R3"/>
    <mergeCell ref="B5:R5"/>
    <mergeCell ref="B6:R6"/>
    <mergeCell ref="A15:R15"/>
    <mergeCell ref="A7:R7"/>
    <mergeCell ref="A8:R13"/>
    <mergeCell ref="A14:R14"/>
  </mergeCells>
  <pageMargins left="0.7" right="0.7" top="0.75" bottom="0.75" header="0.3" footer="0.3"/>
  <pageSetup scale="51" orientation="landscape"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pageSetUpPr fitToPage="1"/>
  </sheetPr>
  <dimension ref="A1:N42"/>
  <sheetViews>
    <sheetView topLeftCell="A22" zoomScale="85" zoomScaleNormal="85" workbookViewId="0">
      <selection activeCell="C34" sqref="C34"/>
    </sheetView>
  </sheetViews>
  <sheetFormatPr defaultRowHeight="15" outlineLevelRow="1" x14ac:dyDescent="0.25"/>
  <cols>
    <col min="1" max="1" width="79.140625" bestFit="1" customWidth="1"/>
    <col min="3" max="7" width="22.7109375" bestFit="1" customWidth="1"/>
  </cols>
  <sheetData>
    <row r="1" spans="1:14" ht="18.75" x14ac:dyDescent="0.3">
      <c r="A1" s="58"/>
      <c r="B1" s="58"/>
      <c r="C1" s="58"/>
      <c r="D1" s="58"/>
      <c r="E1" s="58"/>
      <c r="F1" s="59"/>
      <c r="G1" s="59"/>
      <c r="H1" s="39"/>
      <c r="I1" s="39"/>
      <c r="J1" s="39"/>
      <c r="K1" s="39"/>
      <c r="L1" s="39"/>
    </row>
    <row r="2" spans="1:14" ht="23.25" x14ac:dyDescent="0.35">
      <c r="A2" s="50" t="s">
        <v>124</v>
      </c>
      <c r="B2" s="50"/>
      <c r="C2" s="50"/>
      <c r="D2" s="50"/>
      <c r="E2" s="50"/>
      <c r="F2" s="50"/>
      <c r="G2" s="50"/>
      <c r="H2" s="39"/>
      <c r="I2" s="39"/>
      <c r="J2" s="39"/>
      <c r="K2" s="39"/>
      <c r="L2" s="39"/>
    </row>
    <row r="3" spans="1:14" ht="23.25" x14ac:dyDescent="0.35">
      <c r="A3" s="50" t="s">
        <v>133</v>
      </c>
      <c r="B3" s="50"/>
      <c r="C3" s="50"/>
      <c r="D3" s="50"/>
      <c r="E3" s="50"/>
      <c r="F3" s="50"/>
      <c r="G3" s="50"/>
      <c r="H3" s="39"/>
      <c r="I3" s="39"/>
      <c r="J3" s="39"/>
      <c r="K3" s="39"/>
      <c r="L3" s="39"/>
    </row>
    <row r="4" spans="1:14" ht="18.75" x14ac:dyDescent="0.3">
      <c r="A4" s="58" t="s">
        <v>84</v>
      </c>
      <c r="B4" s="58"/>
      <c r="C4" s="58"/>
      <c r="D4" s="58"/>
      <c r="E4" s="58"/>
      <c r="F4" s="59"/>
      <c r="G4" s="59"/>
      <c r="H4" s="39"/>
      <c r="I4" s="39"/>
      <c r="J4" s="39"/>
      <c r="K4" s="39"/>
      <c r="L4" s="39"/>
    </row>
    <row r="5" spans="1:14" ht="18.75" x14ac:dyDescent="0.3">
      <c r="A5" s="71">
        <f>'INPUT SHEET FOR LAR'!D5</f>
        <v>711</v>
      </c>
      <c r="B5" s="58"/>
      <c r="C5" s="68" t="s">
        <v>135</v>
      </c>
      <c r="D5" s="70" t="str">
        <f>'INPUT SHEET FOR LAR'!D4</f>
        <v>Tracy Foster</v>
      </c>
      <c r="E5" s="68" t="s">
        <v>136</v>
      </c>
      <c r="F5" s="69">
        <f ca="1">TODAY()</f>
        <v>45481</v>
      </c>
      <c r="G5" s="59"/>
      <c r="H5" s="39"/>
      <c r="I5" s="39"/>
      <c r="J5" s="39"/>
      <c r="K5" s="39"/>
      <c r="L5" s="39"/>
    </row>
    <row r="6" spans="1:14" ht="18.75" x14ac:dyDescent="0.3">
      <c r="A6" s="58" t="s">
        <v>83</v>
      </c>
      <c r="B6" s="58"/>
      <c r="C6" s="58"/>
      <c r="D6" s="58"/>
      <c r="E6" s="58"/>
      <c r="F6" s="59"/>
      <c r="G6" s="59"/>
      <c r="H6" s="39"/>
      <c r="I6" s="39"/>
      <c r="J6" s="39"/>
      <c r="K6" s="39"/>
      <c r="L6" s="39"/>
    </row>
    <row r="7" spans="1:14" ht="18.75" x14ac:dyDescent="0.3">
      <c r="A7" s="772" t="str">
        <f>'INPUT SHEET FOR LAR'!D6</f>
        <v>University Name</v>
      </c>
      <c r="B7" s="773"/>
      <c r="C7" s="60" t="s">
        <v>107</v>
      </c>
      <c r="D7" s="60" t="s">
        <v>361</v>
      </c>
      <c r="E7" s="60" t="s">
        <v>4</v>
      </c>
      <c r="F7" s="61" t="s">
        <v>3</v>
      </c>
      <c r="G7" s="61" t="s">
        <v>3</v>
      </c>
      <c r="H7" s="39"/>
      <c r="I7" s="39"/>
      <c r="J7" s="39"/>
      <c r="K7" s="39"/>
      <c r="L7" s="39"/>
    </row>
    <row r="8" spans="1:14" ht="18.75" x14ac:dyDescent="0.3">
      <c r="A8" s="774" t="s">
        <v>6</v>
      </c>
      <c r="B8" s="775"/>
      <c r="C8" s="60">
        <f>'INPUT SHEET FOR LAR'!D3-4</f>
        <v>2019</v>
      </c>
      <c r="D8" s="60">
        <f>C8+1</f>
        <v>2020</v>
      </c>
      <c r="E8" s="60">
        <f>D8+1</f>
        <v>2021</v>
      </c>
      <c r="F8" s="60">
        <f>E8+1</f>
        <v>2022</v>
      </c>
      <c r="G8" s="60">
        <f>F8+1</f>
        <v>2023</v>
      </c>
      <c r="H8" s="39"/>
      <c r="I8" s="39"/>
      <c r="J8" s="39"/>
      <c r="K8" s="39"/>
      <c r="L8" s="39"/>
    </row>
    <row r="9" spans="1:14" ht="18.75" x14ac:dyDescent="0.3">
      <c r="A9" s="58"/>
      <c r="B9" s="20"/>
      <c r="C9" s="62"/>
      <c r="D9" s="62"/>
      <c r="E9" s="62"/>
      <c r="F9" s="59"/>
      <c r="G9" s="59"/>
      <c r="H9" s="39"/>
      <c r="I9" s="39"/>
      <c r="J9" s="39"/>
      <c r="K9" s="39"/>
      <c r="L9" s="39"/>
    </row>
    <row r="10" spans="1:14" ht="18.75" x14ac:dyDescent="0.3">
      <c r="A10" s="58"/>
      <c r="B10" s="20"/>
      <c r="C10" s="58"/>
      <c r="D10" s="58"/>
      <c r="E10" s="58"/>
      <c r="F10" s="59"/>
      <c r="G10" s="59"/>
      <c r="H10" s="39"/>
      <c r="I10" s="39"/>
      <c r="J10" s="39"/>
      <c r="K10" s="39"/>
      <c r="L10" s="39"/>
    </row>
    <row r="11" spans="1:14" ht="18.75" x14ac:dyDescent="0.3">
      <c r="A11" s="70" t="s">
        <v>322</v>
      </c>
      <c r="B11" s="20"/>
      <c r="C11" s="58"/>
      <c r="D11" s="58"/>
      <c r="E11" s="58"/>
      <c r="F11" s="59"/>
      <c r="G11" s="59"/>
      <c r="H11" s="39"/>
      <c r="I11" s="39"/>
      <c r="J11" s="39"/>
      <c r="K11" s="39"/>
      <c r="L11" s="39"/>
    </row>
    <row r="12" spans="1:14" ht="18.75" x14ac:dyDescent="0.3">
      <c r="A12" s="63" t="s">
        <v>323</v>
      </c>
      <c r="B12" s="20"/>
      <c r="C12" s="17">
        <f>SUM((C13/'INPUT SHEET FOR LAR'!D17))</f>
        <v>5491262.4999999991</v>
      </c>
      <c r="D12" s="17">
        <f>SUM((D13/'INPUT SHEET FOR LAR'!D18))</f>
        <v>5559618.2666666666</v>
      </c>
      <c r="E12" s="17">
        <f>SUM((E13/'INPUT SHEET FOR LAR'!D19))</f>
        <v>5647746.666666667</v>
      </c>
      <c r="F12" s="17">
        <f>E12*1.03</f>
        <v>5817179.0666666673</v>
      </c>
      <c r="G12" s="17">
        <f>F12*1.03</f>
        <v>5991694.4386666678</v>
      </c>
      <c r="H12" s="48"/>
      <c r="I12" s="67"/>
      <c r="J12" s="48"/>
      <c r="K12" s="48"/>
      <c r="L12" s="48"/>
    </row>
    <row r="13" spans="1:14" ht="18.75" x14ac:dyDescent="0.3">
      <c r="A13" s="58" t="s">
        <v>325</v>
      </c>
      <c r="B13" s="28"/>
      <c r="C13" s="403">
        <f>'APS011 Sec II'!I53</f>
        <v>373405.85</v>
      </c>
      <c r="D13" s="402">
        <v>416971.37</v>
      </c>
      <c r="E13" s="402">
        <v>423581</v>
      </c>
      <c r="F13" s="403">
        <f>E13*(1+'INPUT SHEET FOR LAR'!D8)</f>
        <v>436288.43</v>
      </c>
      <c r="G13" s="403">
        <f>F13*(1+'INPUT SHEET FOR LAR'!D8)</f>
        <v>449377.08289999998</v>
      </c>
      <c r="H13" s="39"/>
      <c r="I13" s="39"/>
      <c r="J13" s="39"/>
      <c r="K13" s="39"/>
      <c r="L13" s="39"/>
      <c r="N13" s="204"/>
    </row>
    <row r="14" spans="1:14" ht="18.75" x14ac:dyDescent="0.3">
      <c r="A14" s="63" t="s">
        <v>324</v>
      </c>
      <c r="B14" s="28"/>
      <c r="C14" s="17">
        <f>(C15/'INPUT SHEET FOR LAR'!D20)</f>
        <v>6260412.7272727266</v>
      </c>
      <c r="D14" s="403">
        <f>(D15/'INPUT SHEET FOR LAR'!D21)</f>
        <v>7040809.5454545449</v>
      </c>
      <c r="E14" s="403">
        <f>(E15/'INPUT SHEET FOR LAR'!D22)</f>
        <v>7101742.4242424238</v>
      </c>
      <c r="F14" s="403">
        <f>E14*(1+'INPUT SHEET FOR LAR'!D8)</f>
        <v>7314794.6969696963</v>
      </c>
      <c r="G14" s="403">
        <f>F14*(1+'INPUT SHEET FOR LAR'!D8)</f>
        <v>7534238.5378787871</v>
      </c>
      <c r="H14" s="39"/>
      <c r="I14" s="39"/>
      <c r="J14" s="39"/>
      <c r="K14" s="39"/>
      <c r="L14" s="39"/>
    </row>
    <row r="15" spans="1:14" ht="18.75" x14ac:dyDescent="0.3">
      <c r="A15" s="58" t="s">
        <v>326</v>
      </c>
      <c r="B15" s="20"/>
      <c r="C15" s="403">
        <f>'APS011 Sec II'!I69</f>
        <v>413187.24</v>
      </c>
      <c r="D15" s="402">
        <v>464693.43</v>
      </c>
      <c r="E15" s="402">
        <v>468715</v>
      </c>
      <c r="F15" s="403">
        <f>E15*(1+'INPUT SHEET FOR LAR'!D8)</f>
        <v>482776.45</v>
      </c>
      <c r="G15" s="403">
        <f>F15*(1+'INPUT SHEET FOR LAR'!D8)</f>
        <v>497259.74350000004</v>
      </c>
      <c r="H15" s="39"/>
      <c r="I15" s="39"/>
      <c r="J15" s="39"/>
      <c r="K15" s="39"/>
      <c r="L15" s="39"/>
      <c r="N15" s="204"/>
    </row>
    <row r="16" spans="1:14" ht="18.75" x14ac:dyDescent="0.3">
      <c r="A16" s="58"/>
      <c r="B16" s="18"/>
      <c r="C16" s="58"/>
      <c r="D16" s="58"/>
      <c r="E16" s="58"/>
      <c r="F16" s="59"/>
      <c r="G16" s="59"/>
      <c r="H16" s="39"/>
      <c r="I16" s="39"/>
      <c r="J16" s="39"/>
      <c r="K16" s="39"/>
      <c r="L16" s="39"/>
    </row>
    <row r="17" spans="1:12" ht="18.75" outlineLevel="1" x14ac:dyDescent="0.3">
      <c r="A17" s="58" t="s">
        <v>125</v>
      </c>
      <c r="B17" s="20"/>
      <c r="C17" s="22">
        <f>'HE - Schedule 4 OFFICIAL'!D21</f>
        <v>0</v>
      </c>
      <c r="D17" s="22">
        <v>0</v>
      </c>
      <c r="E17" s="22">
        <v>0</v>
      </c>
      <c r="F17" s="66">
        <f>E17*(1+'INPUT SHEET FOR LAR'!D8)</f>
        <v>0</v>
      </c>
      <c r="G17" s="66">
        <f>F17*(1+'INPUT SHEET FOR LAR'!D8)</f>
        <v>0</v>
      </c>
      <c r="H17" s="39"/>
      <c r="I17" s="39"/>
      <c r="J17" s="39"/>
      <c r="K17" s="39"/>
      <c r="L17" s="39"/>
    </row>
    <row r="18" spans="1:12" ht="18.75" outlineLevel="1" x14ac:dyDescent="0.3">
      <c r="A18" s="58"/>
      <c r="B18" s="20"/>
      <c r="C18" s="58"/>
      <c r="D18" s="58"/>
      <c r="E18" s="58"/>
      <c r="F18" s="59"/>
      <c r="G18" s="59"/>
      <c r="H18" s="39"/>
      <c r="I18" s="39"/>
      <c r="J18" s="39"/>
      <c r="K18" s="39"/>
      <c r="L18" s="39"/>
    </row>
    <row r="19" spans="1:12" ht="18.75" outlineLevel="1" x14ac:dyDescent="0.3">
      <c r="A19" s="58" t="s">
        <v>126</v>
      </c>
      <c r="B19" s="20"/>
      <c r="C19" s="65">
        <f>(C13+C15)-C17</f>
        <v>786593.09</v>
      </c>
      <c r="D19" s="65">
        <f>(D13+D15)-D17</f>
        <v>881664.8</v>
      </c>
      <c r="E19" s="65">
        <f>(E13+E15)-E17</f>
        <v>892296</v>
      </c>
      <c r="F19" s="65">
        <f>(F13+F15)-F17</f>
        <v>919064.88</v>
      </c>
      <c r="G19" s="65">
        <f>(G13+G15)-G17</f>
        <v>946636.82640000002</v>
      </c>
      <c r="H19" s="39"/>
      <c r="I19" s="39"/>
      <c r="J19" s="39"/>
      <c r="K19" s="39"/>
      <c r="L19" s="39"/>
    </row>
    <row r="20" spans="1:12" ht="18.75" outlineLevel="1" x14ac:dyDescent="0.3">
      <c r="A20" s="58"/>
      <c r="B20" s="20"/>
      <c r="C20" s="58"/>
      <c r="D20" s="58"/>
      <c r="E20" s="58"/>
      <c r="F20" s="59"/>
      <c r="G20" s="59"/>
      <c r="H20" s="39"/>
      <c r="I20" s="39"/>
      <c r="J20" s="39"/>
      <c r="K20" s="39"/>
      <c r="L20" s="39"/>
    </row>
    <row r="21" spans="1:12" ht="18.75" outlineLevel="1" x14ac:dyDescent="0.3">
      <c r="A21" s="58"/>
      <c r="B21" s="20"/>
      <c r="C21" s="58"/>
      <c r="D21" s="58"/>
      <c r="E21" s="58"/>
      <c r="F21" s="59"/>
      <c r="G21" s="59"/>
      <c r="H21" s="39"/>
      <c r="I21" s="39"/>
      <c r="J21" s="39"/>
      <c r="K21" s="39"/>
      <c r="L21" s="39"/>
    </row>
    <row r="22" spans="1:12" ht="18.75" x14ac:dyDescent="0.3">
      <c r="A22" s="70" t="s">
        <v>331</v>
      </c>
      <c r="B22" s="20"/>
      <c r="C22" s="58"/>
      <c r="D22" s="58"/>
      <c r="E22" s="58"/>
      <c r="F22" s="59"/>
      <c r="G22" s="59"/>
      <c r="H22" s="39"/>
      <c r="I22" s="39"/>
      <c r="J22" s="39"/>
      <c r="K22" s="39"/>
      <c r="L22" s="39"/>
    </row>
    <row r="23" spans="1:12" ht="18.75" x14ac:dyDescent="0.3">
      <c r="A23" s="58" t="s">
        <v>127</v>
      </c>
      <c r="B23" s="20"/>
      <c r="C23" s="58"/>
      <c r="D23" s="58"/>
      <c r="E23" s="58"/>
      <c r="F23" s="59"/>
      <c r="G23" s="59"/>
      <c r="H23" s="39"/>
      <c r="I23" s="39"/>
      <c r="J23" s="39"/>
      <c r="K23" s="39"/>
      <c r="L23" s="39"/>
    </row>
    <row r="24" spans="1:12" ht="18.75" x14ac:dyDescent="0.3">
      <c r="A24" s="58" t="s">
        <v>128</v>
      </c>
      <c r="B24" s="20"/>
      <c r="C24" s="427">
        <f>+'HE - Schedule 4 OFFICIAL'!C13</f>
        <v>0.80780019045149587</v>
      </c>
      <c r="D24" s="427">
        <f>+'HE - Schedule 4 OFFICIAL'!E13</f>
        <v>0.80969800000000003</v>
      </c>
      <c r="E24" s="427">
        <f>+'HE - Schedule 4 OFFICIAL'!G13</f>
        <v>0.80969800000000003</v>
      </c>
      <c r="F24" s="427">
        <f>+'HE - Schedule 4 OFFICIAL'!I13</f>
        <v>0.80969800000000003</v>
      </c>
      <c r="G24" s="427">
        <f>+'HE - Schedule 4 OFFICIAL'!K13</f>
        <v>0.80969800000000003</v>
      </c>
      <c r="H24" s="39"/>
      <c r="I24" s="39"/>
      <c r="J24" s="39"/>
      <c r="K24" s="39"/>
      <c r="L24" s="39"/>
    </row>
    <row r="25" spans="1:12" ht="18.75" x14ac:dyDescent="0.3">
      <c r="A25" s="58" t="s">
        <v>129</v>
      </c>
      <c r="B25" s="20"/>
      <c r="C25" s="425">
        <f>+'HE - Schedule 4 OFFICIAL'!C15</f>
        <v>0.19219980954850402</v>
      </c>
      <c r="D25" s="425">
        <f>+'HE - Schedule 4 OFFICIAL'!E15</f>
        <v>0.19030199999999997</v>
      </c>
      <c r="E25" s="425">
        <f>+'HE - Schedule 4 OFFICIAL'!G15</f>
        <v>0.19030199999999997</v>
      </c>
      <c r="F25" s="425">
        <f>+'HE - Schedule 4 OFFICIAL'!I15</f>
        <v>0.19030199999999997</v>
      </c>
      <c r="G25" s="425">
        <f>+'HE - Schedule 4 OFFICIAL'!K15</f>
        <v>0.19030199999999997</v>
      </c>
      <c r="H25" s="39"/>
      <c r="I25" s="39"/>
      <c r="J25" s="39"/>
      <c r="K25" s="39"/>
      <c r="L25" s="39"/>
    </row>
    <row r="26" spans="1:12" ht="18.75" x14ac:dyDescent="0.3">
      <c r="A26" s="58" t="s">
        <v>329</v>
      </c>
      <c r="B26" s="20"/>
      <c r="C26" s="425">
        <f>+'HE - Schedule 4 OFFICIAL'!C18</f>
        <v>0</v>
      </c>
      <c r="D26" s="425">
        <f>+'HE - Schedule 4 OFFICIAL'!E18</f>
        <v>0</v>
      </c>
      <c r="E26" s="425">
        <f>+'HE - Schedule 4 OFFICIAL'!G18</f>
        <v>0</v>
      </c>
      <c r="F26" s="425">
        <f>+'HE - Schedule 4 OFFICIAL'!I18</f>
        <v>0</v>
      </c>
      <c r="G26" s="425">
        <f>+'HE - Schedule 4 OFFICIAL'!K18</f>
        <v>0</v>
      </c>
      <c r="H26" s="39"/>
      <c r="I26" s="39"/>
      <c r="J26" s="39"/>
      <c r="K26" s="39"/>
      <c r="L26" s="39"/>
    </row>
    <row r="27" spans="1:12" ht="18.75" x14ac:dyDescent="0.3">
      <c r="A27" s="404"/>
      <c r="B27" s="20"/>
      <c r="C27" s="58"/>
      <c r="D27" s="58"/>
      <c r="E27" s="58"/>
      <c r="F27" s="59"/>
      <c r="G27" s="59"/>
      <c r="H27" s="36"/>
      <c r="I27" s="36"/>
      <c r="J27" s="36"/>
      <c r="K27" s="36"/>
      <c r="L27" s="36"/>
    </row>
    <row r="28" spans="1:12" ht="18.75" x14ac:dyDescent="0.3">
      <c r="A28" s="70" t="s">
        <v>333</v>
      </c>
      <c r="B28" s="20"/>
      <c r="C28" s="58"/>
      <c r="D28" s="58"/>
      <c r="E28" s="58"/>
      <c r="F28" s="59"/>
      <c r="G28" s="59"/>
      <c r="H28" s="36"/>
      <c r="I28" s="36"/>
      <c r="J28" s="36"/>
      <c r="K28" s="36"/>
      <c r="L28" s="36"/>
    </row>
    <row r="29" spans="1:12" ht="18.75" x14ac:dyDescent="0.3">
      <c r="A29" s="58" t="s">
        <v>332</v>
      </c>
      <c r="B29" s="64"/>
      <c r="C29" s="401">
        <f>SUM(C19*C25)</f>
        <v>151183.04209016927</v>
      </c>
      <c r="D29" s="401">
        <f>SUM(D19*D25)</f>
        <v>167782.57476959997</v>
      </c>
      <c r="E29" s="401">
        <f>SUM(E19*E25)</f>
        <v>169805.71339199998</v>
      </c>
      <c r="F29" s="401">
        <f>SUM(F19*F25)</f>
        <v>174899.88479375996</v>
      </c>
      <c r="G29" s="401">
        <f>SUM(G19*G25)</f>
        <v>180146.88133757276</v>
      </c>
      <c r="H29" s="16"/>
      <c r="I29" s="16"/>
      <c r="J29" s="16"/>
      <c r="K29" s="16"/>
      <c r="L29" s="16"/>
    </row>
    <row r="30" spans="1:12" ht="18.75" x14ac:dyDescent="0.3">
      <c r="A30" s="399" t="s">
        <v>130</v>
      </c>
      <c r="B30" s="20"/>
      <c r="C30" s="58"/>
      <c r="D30" s="58"/>
      <c r="E30" s="58"/>
      <c r="F30" s="59"/>
      <c r="G30" s="59"/>
      <c r="H30" s="16"/>
      <c r="I30" s="16"/>
      <c r="J30" s="16"/>
      <c r="K30" s="16"/>
      <c r="L30" s="16"/>
    </row>
    <row r="31" spans="1:12" ht="18.75" x14ac:dyDescent="0.3">
      <c r="A31" s="58" t="s">
        <v>406</v>
      </c>
      <c r="B31" s="64"/>
      <c r="C31" s="401">
        <f>SUM(C19*C26)</f>
        <v>0</v>
      </c>
      <c r="D31" s="401">
        <f t="shared" ref="D31:G31" si="0">SUM(D19*D26)</f>
        <v>0</v>
      </c>
      <c r="E31" s="401">
        <f t="shared" si="0"/>
        <v>0</v>
      </c>
      <c r="F31" s="401">
        <f t="shared" si="0"/>
        <v>0</v>
      </c>
      <c r="G31" s="401">
        <f t="shared" si="0"/>
        <v>0</v>
      </c>
      <c r="H31" s="16"/>
      <c r="I31" s="16"/>
      <c r="J31" s="16"/>
      <c r="K31" s="16"/>
      <c r="L31" s="16"/>
    </row>
    <row r="32" spans="1:12" ht="30" x14ac:dyDescent="0.3">
      <c r="A32" s="398" t="s">
        <v>334</v>
      </c>
      <c r="B32" s="20"/>
      <c r="C32" s="58"/>
      <c r="D32" s="58"/>
      <c r="E32" s="58"/>
      <c r="F32" s="59"/>
      <c r="G32" s="59"/>
      <c r="H32" s="16"/>
      <c r="I32" s="16"/>
      <c r="J32" s="16"/>
      <c r="K32" s="16"/>
      <c r="L32" s="16"/>
    </row>
    <row r="33" spans="1:12" ht="18.75" x14ac:dyDescent="0.3">
      <c r="A33" s="70" t="s">
        <v>330</v>
      </c>
      <c r="B33" s="20"/>
      <c r="C33" s="59"/>
      <c r="D33" s="58"/>
      <c r="E33" s="58"/>
      <c r="F33" s="59"/>
      <c r="G33" s="59"/>
      <c r="H33" s="16"/>
      <c r="I33" s="16"/>
      <c r="J33" s="16"/>
      <c r="K33" s="16"/>
      <c r="L33" s="16"/>
    </row>
    <row r="34" spans="1:12" ht="18.75" x14ac:dyDescent="0.3">
      <c r="A34" s="58" t="s">
        <v>131</v>
      </c>
      <c r="B34" s="20"/>
      <c r="C34" s="400">
        <f>SUM(C37/'INPUT SHEET FOR LAR'!$D$23)</f>
        <v>5354563.1578947371</v>
      </c>
      <c r="D34" s="400">
        <f>SUM(D37/'INPUT SHEET FOR LAR'!$D$24)</f>
        <v>3256627.8947368423</v>
      </c>
      <c r="E34" s="536">
        <f>SUM(E37/'INPUT SHEET FOR LAR'!$D$25)</f>
        <v>3354326.7315789475</v>
      </c>
      <c r="F34" s="400">
        <f>SUM(F37/'INPUT SHEET FOR LAR'!$D$25)</f>
        <v>3454956.5335263163</v>
      </c>
      <c r="G34" s="400">
        <f>SUM(G37/'INPUT SHEET FOR LAR'!$D$25)</f>
        <v>3558605.2295321058</v>
      </c>
      <c r="H34" s="16"/>
      <c r="I34" s="16"/>
      <c r="J34" s="16"/>
      <c r="K34" s="16"/>
      <c r="L34" s="16"/>
    </row>
    <row r="35" spans="1:12" ht="18.75" x14ac:dyDescent="0.3">
      <c r="A35" s="58"/>
      <c r="B35" s="20"/>
      <c r="C35" s="58"/>
      <c r="D35" s="58"/>
      <c r="E35" s="58"/>
      <c r="F35" s="59"/>
      <c r="G35" s="59"/>
      <c r="H35" s="16"/>
      <c r="I35" s="16"/>
      <c r="J35" s="16"/>
      <c r="K35" s="16"/>
      <c r="L35" s="16"/>
    </row>
    <row r="36" spans="1:12" ht="18.75" x14ac:dyDescent="0.3">
      <c r="A36" s="58"/>
      <c r="B36" s="20"/>
      <c r="C36" s="58"/>
      <c r="D36" s="58"/>
      <c r="E36" s="58"/>
      <c r="F36" s="59"/>
      <c r="G36" s="59"/>
      <c r="H36" s="16"/>
      <c r="I36" s="16"/>
      <c r="J36" s="16"/>
      <c r="K36" s="16"/>
      <c r="L36" s="16"/>
    </row>
    <row r="37" spans="1:12" ht="18.75" x14ac:dyDescent="0.3">
      <c r="A37" s="70" t="s">
        <v>132</v>
      </c>
      <c r="B37" s="20"/>
      <c r="C37" s="402">
        <v>101736.7</v>
      </c>
      <c r="D37" s="402">
        <f>61875.93</f>
        <v>61875.93</v>
      </c>
      <c r="E37" s="402">
        <f>D37*1.03</f>
        <v>63732.207900000001</v>
      </c>
      <c r="F37" s="429">
        <f>E37*1.03</f>
        <v>65644.174137000009</v>
      </c>
      <c r="G37" s="429">
        <f>F37*1.03</f>
        <v>67613.499361110007</v>
      </c>
      <c r="H37" s="16"/>
      <c r="I37" s="16"/>
      <c r="J37" s="16"/>
      <c r="K37" s="16"/>
      <c r="L37" s="16"/>
    </row>
    <row r="38" spans="1:12" ht="15.75" x14ac:dyDescent="0.25">
      <c r="A38" s="16"/>
      <c r="B38" s="16"/>
      <c r="C38" s="16"/>
      <c r="D38" s="16"/>
      <c r="E38" s="16"/>
      <c r="F38" s="16"/>
      <c r="G38" s="16"/>
      <c r="H38" s="16"/>
      <c r="I38" s="16"/>
      <c r="J38" s="16"/>
      <c r="K38" s="16"/>
      <c r="L38" s="16"/>
    </row>
    <row r="39" spans="1:12" ht="15.75" x14ac:dyDescent="0.25">
      <c r="A39" s="16"/>
      <c r="B39" s="16"/>
      <c r="C39" s="16"/>
      <c r="D39" s="16"/>
      <c r="E39" s="16"/>
      <c r="F39" s="16"/>
      <c r="G39" s="16"/>
      <c r="H39" s="16"/>
      <c r="I39" s="16"/>
      <c r="J39" s="16"/>
      <c r="K39" s="16"/>
      <c r="L39" s="16"/>
    </row>
    <row r="40" spans="1:12" ht="15.75" x14ac:dyDescent="0.25">
      <c r="A40" s="16"/>
      <c r="B40" s="16"/>
      <c r="C40" s="16"/>
      <c r="D40" s="16"/>
      <c r="E40" s="16"/>
      <c r="F40" s="16"/>
      <c r="G40" s="16"/>
      <c r="H40" s="16"/>
      <c r="I40" s="16"/>
      <c r="J40" s="16"/>
      <c r="K40" s="16"/>
      <c r="L40" s="16"/>
    </row>
    <row r="41" spans="1:12" ht="15.75" x14ac:dyDescent="0.25">
      <c r="A41" s="16"/>
      <c r="B41" s="16"/>
      <c r="C41" s="16"/>
      <c r="D41" s="16"/>
      <c r="E41" s="16"/>
      <c r="F41" s="16"/>
      <c r="G41" s="16"/>
      <c r="H41" s="16"/>
      <c r="I41" s="16"/>
      <c r="J41" s="16"/>
      <c r="K41" s="16"/>
      <c r="L41" s="16"/>
    </row>
    <row r="42" spans="1:12" ht="15.75" x14ac:dyDescent="0.25">
      <c r="A42" s="16"/>
      <c r="B42" s="16"/>
      <c r="C42" s="16"/>
      <c r="D42" s="16"/>
      <c r="E42" s="16"/>
      <c r="F42" s="16"/>
      <c r="G42" s="16"/>
      <c r="H42" s="16"/>
      <c r="I42" s="16"/>
      <c r="J42" s="16"/>
      <c r="K42" s="16"/>
      <c r="L42" s="16"/>
    </row>
  </sheetData>
  <mergeCells count="2">
    <mergeCell ref="A7:B7"/>
    <mergeCell ref="A8:B8"/>
  </mergeCells>
  <pageMargins left="0.7" right="0.7" top="0.75" bottom="0.75" header="0.3" footer="0.3"/>
  <pageSetup scale="49" orientation="landscape"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J61"/>
  <sheetViews>
    <sheetView zoomScaleNormal="100" workbookViewId="0">
      <selection activeCell="H29" sqref="H29"/>
    </sheetView>
  </sheetViews>
  <sheetFormatPr defaultColWidth="9.140625" defaultRowHeight="15.75" x14ac:dyDescent="0.25"/>
  <cols>
    <col min="1" max="1" width="44.42578125" style="487" customWidth="1"/>
    <col min="2" max="3" width="13.7109375" style="487" bestFit="1" customWidth="1"/>
    <col min="4" max="4" width="13.85546875" style="487" bestFit="1" customWidth="1"/>
    <col min="5" max="6" width="13.42578125" style="487" bestFit="1" customWidth="1"/>
    <col min="7" max="7" width="11.140625" style="487" bestFit="1" customWidth="1"/>
    <col min="8" max="8" width="14.140625" style="487" bestFit="1" customWidth="1"/>
    <col min="9" max="9" width="18" style="487" bestFit="1" customWidth="1"/>
    <col min="10" max="10" width="15.28515625" style="487" customWidth="1"/>
    <col min="11" max="11" width="11.85546875" style="487" bestFit="1" customWidth="1"/>
    <col min="12" max="12" width="24" style="487" bestFit="1" customWidth="1"/>
    <col min="13" max="16384" width="9.140625" style="487"/>
  </cols>
  <sheetData>
    <row r="1" spans="1:10" ht="20.25" x14ac:dyDescent="0.3">
      <c r="A1" s="485" t="s">
        <v>491</v>
      </c>
      <c r="B1" s="486"/>
      <c r="C1" s="486"/>
      <c r="D1" s="486"/>
      <c r="E1" s="486"/>
      <c r="F1" s="486"/>
    </row>
    <row r="2" spans="1:10" s="489" customFormat="1" ht="12.75" x14ac:dyDescent="0.2">
      <c r="A2" s="488"/>
    </row>
    <row r="3" spans="1:10" x14ac:dyDescent="0.25">
      <c r="A3" s="490" t="s">
        <v>492</v>
      </c>
      <c r="B3" s="491" t="s">
        <v>524</v>
      </c>
      <c r="C3" s="491" t="s">
        <v>525</v>
      </c>
      <c r="D3" s="491" t="s">
        <v>526</v>
      </c>
      <c r="E3" s="491" t="s">
        <v>527</v>
      </c>
      <c r="F3" s="491" t="s">
        <v>528</v>
      </c>
      <c r="G3" s="492"/>
      <c r="H3" s="492"/>
      <c r="I3" s="492"/>
      <c r="J3" s="492"/>
    </row>
    <row r="4" spans="1:10" x14ac:dyDescent="0.25">
      <c r="A4" s="493" t="s">
        <v>493</v>
      </c>
      <c r="B4" s="494"/>
      <c r="C4" s="494"/>
      <c r="D4" s="494"/>
      <c r="E4" s="494"/>
      <c r="F4" s="494"/>
    </row>
    <row r="5" spans="1:10" x14ac:dyDescent="0.25">
      <c r="A5" s="493" t="s">
        <v>494</v>
      </c>
      <c r="B5" s="494"/>
      <c r="C5" s="494"/>
      <c r="D5" s="494"/>
      <c r="E5" s="494"/>
      <c r="F5" s="494"/>
    </row>
    <row r="6" spans="1:10" ht="16.5" x14ac:dyDescent="0.3">
      <c r="A6" s="494" t="s">
        <v>495</v>
      </c>
      <c r="B6" s="520">
        <v>1733.2786606597704</v>
      </c>
      <c r="C6" s="520">
        <v>1755.4005414193575</v>
      </c>
      <c r="D6" s="520">
        <v>1863.397204702798</v>
      </c>
      <c r="E6" s="520">
        <v>1863.397204702798</v>
      </c>
      <c r="F6" s="520">
        <v>1863.397204702798</v>
      </c>
      <c r="G6" s="496"/>
      <c r="H6" s="496"/>
      <c r="I6" s="496"/>
      <c r="J6" s="496"/>
    </row>
    <row r="7" spans="1:10" ht="16.5" x14ac:dyDescent="0.3">
      <c r="A7" s="494" t="s">
        <v>496</v>
      </c>
      <c r="B7" s="520">
        <v>2169.7813393402303</v>
      </c>
      <c r="C7" s="520">
        <v>2292.9694585806433</v>
      </c>
      <c r="D7" s="520">
        <v>2434.9627952972028</v>
      </c>
      <c r="E7" s="520">
        <v>2434.9627952972028</v>
      </c>
      <c r="F7" s="520">
        <v>2434.9627952972028</v>
      </c>
      <c r="G7" s="496"/>
      <c r="H7" s="496"/>
      <c r="I7" s="496"/>
      <c r="J7" s="496"/>
    </row>
    <row r="8" spans="1:10" ht="16.5" x14ac:dyDescent="0.3">
      <c r="A8" s="497" t="s">
        <v>497</v>
      </c>
      <c r="B8" s="498">
        <f>SUM(B6:B7)</f>
        <v>3903.0600000000004</v>
      </c>
      <c r="C8" s="498">
        <f>SUM(C6:C7)</f>
        <v>4048.3700000000008</v>
      </c>
      <c r="D8" s="498">
        <f>SUM(D6:D7)</f>
        <v>4298.3600000000006</v>
      </c>
      <c r="E8" s="498">
        <f>SUM(E6:E7)</f>
        <v>4298.3600000000006</v>
      </c>
      <c r="F8" s="498">
        <f>SUM(F6:F7)</f>
        <v>4298.3600000000006</v>
      </c>
      <c r="G8" s="496"/>
      <c r="H8" s="496"/>
      <c r="J8" s="496"/>
    </row>
    <row r="9" spans="1:10" ht="16.5" x14ac:dyDescent="0.3">
      <c r="A9" s="497"/>
      <c r="B9" s="498"/>
      <c r="C9" s="498"/>
      <c r="D9" s="498"/>
      <c r="E9" s="498"/>
      <c r="F9" s="498"/>
      <c r="G9" s="496"/>
      <c r="H9" s="496"/>
      <c r="I9" s="496"/>
      <c r="J9" s="496"/>
    </row>
    <row r="10" spans="1:10" ht="16.5" x14ac:dyDescent="0.3">
      <c r="A10" s="497" t="s">
        <v>498</v>
      </c>
      <c r="B10" s="499"/>
      <c r="C10" s="495"/>
      <c r="D10" s="495"/>
      <c r="E10" s="495"/>
      <c r="F10" s="498"/>
      <c r="G10" s="500"/>
      <c r="H10" s="501"/>
      <c r="I10" s="502"/>
      <c r="J10" s="502"/>
    </row>
    <row r="11" spans="1:10" ht="16.5" x14ac:dyDescent="0.3">
      <c r="A11" s="519" t="s">
        <v>6</v>
      </c>
      <c r="B11" s="520">
        <v>685.94</v>
      </c>
      <c r="C11" s="520">
        <v>685.94</v>
      </c>
      <c r="D11" s="520">
        <v>685.94</v>
      </c>
      <c r="E11" s="520">
        <v>685.94</v>
      </c>
      <c r="F11" s="520">
        <v>685.94</v>
      </c>
      <c r="G11" s="500"/>
      <c r="H11" s="501"/>
      <c r="I11" s="502"/>
      <c r="J11" s="502"/>
    </row>
    <row r="12" spans="1:10" ht="16.5" x14ac:dyDescent="0.3">
      <c r="A12" s="497" t="s">
        <v>499</v>
      </c>
      <c r="B12" s="498">
        <f>B11</f>
        <v>685.94</v>
      </c>
      <c r="C12" s="498">
        <f t="shared" ref="C12:F12" si="0">C11</f>
        <v>685.94</v>
      </c>
      <c r="D12" s="498">
        <f t="shared" si="0"/>
        <v>685.94</v>
      </c>
      <c r="E12" s="498">
        <f t="shared" si="0"/>
        <v>685.94</v>
      </c>
      <c r="F12" s="498">
        <f t="shared" si="0"/>
        <v>685.94</v>
      </c>
    </row>
    <row r="13" spans="1:10" ht="16.5" x14ac:dyDescent="0.3">
      <c r="A13" s="497"/>
      <c r="B13" s="498"/>
      <c r="C13" s="498"/>
      <c r="D13" s="498"/>
      <c r="E13" s="498"/>
      <c r="F13" s="498"/>
    </row>
    <row r="14" spans="1:10" ht="16.5" x14ac:dyDescent="0.3">
      <c r="A14" s="497" t="s">
        <v>500</v>
      </c>
      <c r="B14" s="504">
        <f>B8+B11</f>
        <v>4589</v>
      </c>
      <c r="C14" s="504">
        <f>C8+C11</f>
        <v>4734.3100000000013</v>
      </c>
      <c r="D14" s="504">
        <f>D8+D11</f>
        <v>4984.3000000000011</v>
      </c>
      <c r="E14" s="504">
        <f t="shared" ref="E14:F14" si="1">E8+E11</f>
        <v>4984.3000000000011</v>
      </c>
      <c r="F14" s="504">
        <f t="shared" si="1"/>
        <v>4984.3000000000011</v>
      </c>
      <c r="I14" s="505" t="s">
        <v>501</v>
      </c>
      <c r="J14" s="521"/>
    </row>
    <row r="15" spans="1:10" s="524" customFormat="1" ht="16.5" x14ac:dyDescent="0.3">
      <c r="A15" s="503" t="s">
        <v>510</v>
      </c>
      <c r="B15" s="522">
        <f>B14-'Base Recon'!D139</f>
        <v>0</v>
      </c>
      <c r="C15" s="522">
        <f>C14-'Base Recon'!E139</f>
        <v>1.0000000001127773E-2</v>
      </c>
      <c r="D15" s="522">
        <f>D14-'Base Recon'!F139</f>
        <v>0</v>
      </c>
      <c r="E15" s="523"/>
      <c r="F15" s="523"/>
    </row>
    <row r="16" spans="1:10" ht="16.5" x14ac:dyDescent="0.3">
      <c r="A16" s="494"/>
      <c r="B16" s="506"/>
      <c r="C16" s="495"/>
      <c r="D16" s="495"/>
      <c r="E16" s="495"/>
      <c r="F16" s="495"/>
    </row>
    <row r="17" spans="1:10" ht="16.5" x14ac:dyDescent="0.3">
      <c r="A17" s="494" t="s">
        <v>502</v>
      </c>
      <c r="B17" s="520">
        <v>5506.2000000000007</v>
      </c>
      <c r="C17" s="520">
        <v>5281.74</v>
      </c>
      <c r="D17" s="520">
        <v>5281.74</v>
      </c>
      <c r="E17" s="520">
        <v>5281.74</v>
      </c>
      <c r="F17" s="520">
        <v>5281.74</v>
      </c>
    </row>
    <row r="18" spans="1:10" ht="16.5" x14ac:dyDescent="0.3">
      <c r="A18" s="497" t="s">
        <v>503</v>
      </c>
      <c r="B18" s="498">
        <f>SUM(B16:B17)</f>
        <v>5506.2000000000007</v>
      </c>
      <c r="C18" s="498">
        <f>SUM(C16:C17)</f>
        <v>5281.74</v>
      </c>
      <c r="D18" s="498">
        <f>SUM(D16:D17)</f>
        <v>5281.74</v>
      </c>
      <c r="E18" s="498">
        <f>SUM(E16:E17)</f>
        <v>5281.74</v>
      </c>
      <c r="F18" s="498">
        <f>SUM(F16:F17)</f>
        <v>5281.74</v>
      </c>
    </row>
    <row r="19" spans="1:10" ht="16.5" x14ac:dyDescent="0.3">
      <c r="A19" s="497" t="s">
        <v>297</v>
      </c>
      <c r="B19" s="498">
        <f>B14+B18</f>
        <v>10095.200000000001</v>
      </c>
      <c r="C19" s="498">
        <f>C14+C18</f>
        <v>10016.050000000001</v>
      </c>
      <c r="D19" s="498">
        <f>D14+D18</f>
        <v>10266.040000000001</v>
      </c>
      <c r="E19" s="498">
        <f t="shared" ref="E19:F19" si="2">E14+E18</f>
        <v>10266.040000000001</v>
      </c>
      <c r="F19" s="498">
        <f t="shared" si="2"/>
        <v>10266.040000000001</v>
      </c>
    </row>
    <row r="20" spans="1:10" ht="16.5" x14ac:dyDescent="0.3">
      <c r="A20" s="494"/>
      <c r="B20" s="506"/>
      <c r="C20" s="506"/>
      <c r="D20" s="506"/>
      <c r="E20" s="506"/>
      <c r="F20" s="506"/>
    </row>
    <row r="21" spans="1:10" ht="16.5" x14ac:dyDescent="0.3">
      <c r="B21" s="534"/>
      <c r="C21" s="534"/>
      <c r="D21" s="534"/>
      <c r="E21" s="534"/>
      <c r="F21" s="534"/>
    </row>
    <row r="23" spans="1:10" x14ac:dyDescent="0.25">
      <c r="A23" s="533" t="s">
        <v>523</v>
      </c>
      <c r="B23" s="533"/>
      <c r="C23" s="533"/>
      <c r="D23" s="533"/>
      <c r="E23" s="533"/>
      <c r="F23" s="533"/>
    </row>
    <row r="24" spans="1:10" ht="16.5" x14ac:dyDescent="0.3">
      <c r="A24" s="493" t="s">
        <v>504</v>
      </c>
      <c r="B24" s="506"/>
      <c r="C24" s="506"/>
      <c r="D24" s="506"/>
      <c r="E24" s="506"/>
      <c r="F24" s="506"/>
    </row>
    <row r="25" spans="1:10" ht="16.5" x14ac:dyDescent="0.3">
      <c r="A25" s="493" t="s">
        <v>505</v>
      </c>
      <c r="B25" s="506"/>
      <c r="C25" s="506"/>
      <c r="D25" s="506"/>
      <c r="E25" s="507"/>
      <c r="F25" s="506"/>
    </row>
    <row r="26" spans="1:10" ht="16.5" x14ac:dyDescent="0.3">
      <c r="A26" s="494" t="s">
        <v>495</v>
      </c>
      <c r="B26" s="527"/>
      <c r="C26" s="527"/>
      <c r="D26" s="527"/>
      <c r="E26" s="527"/>
      <c r="F26" s="527"/>
      <c r="G26" s="496"/>
      <c r="H26" s="512"/>
      <c r="I26" s="512"/>
      <c r="J26" s="512"/>
    </row>
    <row r="27" spans="1:10" ht="16.5" x14ac:dyDescent="0.3">
      <c r="A27" s="494" t="s">
        <v>496</v>
      </c>
      <c r="B27" s="527"/>
      <c r="C27" s="527"/>
      <c r="D27" s="527"/>
      <c r="E27" s="527"/>
      <c r="F27" s="527"/>
      <c r="G27" s="496"/>
      <c r="H27" s="496"/>
      <c r="I27" s="496"/>
      <c r="J27" s="496"/>
    </row>
    <row r="28" spans="1:10" ht="16.5" x14ac:dyDescent="0.3">
      <c r="A28" s="497" t="s">
        <v>497</v>
      </c>
      <c r="B28" s="528"/>
      <c r="C28" s="528"/>
      <c r="D28" s="528"/>
      <c r="E28" s="528"/>
      <c r="F28" s="528"/>
      <c r="G28" s="496"/>
      <c r="H28" s="496"/>
      <c r="I28" s="496"/>
      <c r="J28" s="496"/>
    </row>
    <row r="29" spans="1:10" ht="16.5" x14ac:dyDescent="0.3">
      <c r="A29" s="497"/>
      <c r="B29" s="499"/>
      <c r="C29" s="506"/>
      <c r="D29" s="498"/>
      <c r="E29" s="506"/>
      <c r="F29" s="499"/>
      <c r="G29" s="501"/>
      <c r="H29" s="501"/>
      <c r="I29" s="502"/>
      <c r="J29" s="502"/>
    </row>
    <row r="30" spans="1:10" ht="16.5" x14ac:dyDescent="0.3">
      <c r="A30" s="497" t="s">
        <v>498</v>
      </c>
      <c r="B30" s="499"/>
      <c r="C30" s="506"/>
      <c r="D30" s="506"/>
      <c r="E30" s="506"/>
      <c r="F30" s="499"/>
      <c r="G30" s="501"/>
      <c r="H30" s="501"/>
      <c r="I30" s="502"/>
      <c r="J30" s="502"/>
    </row>
    <row r="31" spans="1:10" ht="16.5" x14ac:dyDescent="0.3">
      <c r="A31" s="494" t="s">
        <v>506</v>
      </c>
      <c r="B31" s="527"/>
      <c r="C31" s="527"/>
      <c r="D31" s="527"/>
      <c r="E31" s="527"/>
      <c r="F31" s="527"/>
      <c r="G31" s="501"/>
      <c r="H31" s="501"/>
      <c r="I31" s="502"/>
      <c r="J31" s="502"/>
    </row>
    <row r="32" spans="1:10" ht="16.5" x14ac:dyDescent="0.3">
      <c r="A32" s="497" t="s">
        <v>499</v>
      </c>
      <c r="B32" s="528"/>
      <c r="C32" s="528"/>
      <c r="D32" s="528"/>
      <c r="E32" s="528"/>
      <c r="F32" s="528"/>
    </row>
    <row r="33" spans="1:10" ht="16.5" x14ac:dyDescent="0.3">
      <c r="A33" s="497"/>
      <c r="B33" s="498"/>
      <c r="C33" s="498"/>
      <c r="D33" s="498"/>
      <c r="E33" s="498"/>
      <c r="F33" s="498"/>
    </row>
    <row r="34" spans="1:10" ht="16.5" x14ac:dyDescent="0.3">
      <c r="A34" s="497" t="s">
        <v>500</v>
      </c>
      <c r="B34" s="528"/>
      <c r="C34" s="528"/>
      <c r="D34" s="528"/>
      <c r="E34" s="528"/>
      <c r="F34" s="528"/>
    </row>
    <row r="35" spans="1:10" ht="16.5" x14ac:dyDescent="0.3">
      <c r="A35" s="494"/>
      <c r="B35" s="506"/>
      <c r="C35" s="506"/>
      <c r="D35" s="506"/>
      <c r="E35" s="506"/>
      <c r="F35" s="506"/>
    </row>
    <row r="36" spans="1:10" ht="16.5" x14ac:dyDescent="0.3">
      <c r="A36" s="494" t="s">
        <v>502</v>
      </c>
      <c r="B36" s="527"/>
      <c r="C36" s="527"/>
      <c r="D36" s="527"/>
      <c r="E36" s="527"/>
      <c r="F36" s="527"/>
    </row>
    <row r="37" spans="1:10" ht="16.5" x14ac:dyDescent="0.3">
      <c r="A37" s="497" t="s">
        <v>503</v>
      </c>
      <c r="B37" s="528"/>
      <c r="C37" s="528"/>
      <c r="D37" s="528"/>
      <c r="E37" s="528"/>
      <c r="F37" s="528"/>
    </row>
    <row r="38" spans="1:10" ht="16.5" x14ac:dyDescent="0.3">
      <c r="A38" s="497" t="s">
        <v>297</v>
      </c>
      <c r="B38" s="528"/>
      <c r="C38" s="528"/>
      <c r="D38" s="528"/>
      <c r="E38" s="528"/>
      <c r="F38" s="528"/>
    </row>
    <row r="39" spans="1:10" x14ac:dyDescent="0.25">
      <c r="A39" s="494"/>
      <c r="B39" s="508"/>
      <c r="C39" s="508"/>
      <c r="D39" s="508"/>
      <c r="E39" s="508"/>
      <c r="F39" s="508"/>
    </row>
    <row r="40" spans="1:10" x14ac:dyDescent="0.25">
      <c r="A40" s="494"/>
      <c r="B40" s="508"/>
      <c r="C40" s="509"/>
      <c r="D40" s="509"/>
      <c r="E40" s="509"/>
      <c r="F40" s="509"/>
    </row>
    <row r="41" spans="1:10" x14ac:dyDescent="0.25">
      <c r="A41" s="493" t="s">
        <v>507</v>
      </c>
      <c r="B41" s="508"/>
      <c r="C41" s="508"/>
      <c r="D41" s="508"/>
      <c r="E41" s="508"/>
      <c r="F41" s="508"/>
    </row>
    <row r="42" spans="1:10" x14ac:dyDescent="0.25">
      <c r="A42" s="493" t="s">
        <v>508</v>
      </c>
      <c r="B42" s="508"/>
      <c r="C42" s="508"/>
      <c r="D42" s="508"/>
      <c r="E42" s="508"/>
      <c r="F42" s="508"/>
      <c r="H42" s="496"/>
    </row>
    <row r="43" spans="1:10" x14ac:dyDescent="0.25">
      <c r="A43" s="493" t="s">
        <v>494</v>
      </c>
      <c r="B43" s="508"/>
      <c r="C43" s="508"/>
      <c r="D43" s="508"/>
      <c r="E43" s="508"/>
      <c r="F43" s="508"/>
      <c r="H43" s="496"/>
    </row>
    <row r="44" spans="1:10" ht="16.5" x14ac:dyDescent="0.3">
      <c r="A44" s="494" t="s">
        <v>495</v>
      </c>
      <c r="B44" s="529"/>
      <c r="C44" s="529"/>
      <c r="D44" s="529"/>
      <c r="E44" s="529"/>
      <c r="F44" s="529"/>
      <c r="G44" s="496"/>
      <c r="H44" s="510"/>
      <c r="I44" s="496"/>
      <c r="J44" s="496"/>
    </row>
    <row r="45" spans="1:10" ht="16.5" x14ac:dyDescent="0.3">
      <c r="A45" s="494" t="s">
        <v>496</v>
      </c>
      <c r="B45" s="530"/>
      <c r="C45" s="530"/>
      <c r="D45" s="530"/>
      <c r="E45" s="530"/>
      <c r="F45" s="530"/>
      <c r="G45" s="512"/>
      <c r="H45" s="512"/>
      <c r="I45" s="512"/>
      <c r="J45" s="512"/>
    </row>
    <row r="46" spans="1:10" ht="16.5" x14ac:dyDescent="0.3">
      <c r="A46" s="497" t="s">
        <v>497</v>
      </c>
      <c r="B46" s="531"/>
      <c r="C46" s="531"/>
      <c r="D46" s="531"/>
      <c r="E46" s="531"/>
      <c r="F46" s="531"/>
      <c r="G46" s="496"/>
      <c r="H46" s="496"/>
      <c r="I46" s="496"/>
      <c r="J46" s="496"/>
    </row>
    <row r="47" spans="1:10" ht="16.5" x14ac:dyDescent="0.3">
      <c r="A47" s="497"/>
      <c r="B47" s="513"/>
      <c r="C47" s="511"/>
      <c r="D47" s="511"/>
      <c r="E47" s="511"/>
      <c r="F47" s="513"/>
      <c r="G47" s="501"/>
      <c r="H47" s="501"/>
      <c r="I47" s="502"/>
      <c r="J47" s="502"/>
    </row>
    <row r="48" spans="1:10" ht="16.5" x14ac:dyDescent="0.3">
      <c r="A48" s="497" t="s">
        <v>498</v>
      </c>
      <c r="B48" s="513"/>
      <c r="C48" s="511"/>
      <c r="D48" s="511"/>
      <c r="E48" s="511"/>
      <c r="F48" s="513"/>
      <c r="G48" s="501"/>
      <c r="H48" s="501"/>
      <c r="I48" s="502"/>
      <c r="J48" s="502"/>
    </row>
    <row r="49" spans="1:10" ht="16.5" x14ac:dyDescent="0.3">
      <c r="A49" s="494" t="s">
        <v>506</v>
      </c>
      <c r="B49" s="530"/>
      <c r="C49" s="530"/>
      <c r="D49" s="530"/>
      <c r="E49" s="530"/>
      <c r="F49" s="530"/>
      <c r="G49" s="501"/>
      <c r="H49" s="501"/>
      <c r="I49" s="502"/>
      <c r="J49" s="502"/>
    </row>
    <row r="50" spans="1:10" ht="16.5" x14ac:dyDescent="0.3">
      <c r="A50" s="497" t="s">
        <v>509</v>
      </c>
      <c r="B50" s="531"/>
      <c r="C50" s="531"/>
      <c r="D50" s="531"/>
      <c r="E50" s="531"/>
      <c r="F50" s="531"/>
    </row>
    <row r="51" spans="1:10" ht="16.5" x14ac:dyDescent="0.3">
      <c r="A51" s="497"/>
      <c r="B51" s="513"/>
      <c r="C51" s="513"/>
      <c r="D51" s="513"/>
      <c r="E51" s="513"/>
      <c r="F51" s="513"/>
    </row>
    <row r="52" spans="1:10" ht="16.5" x14ac:dyDescent="0.3">
      <c r="A52" s="497" t="s">
        <v>500</v>
      </c>
      <c r="B52" s="531"/>
      <c r="C52" s="531"/>
      <c r="D52" s="531"/>
      <c r="E52" s="531"/>
      <c r="F52" s="531"/>
    </row>
    <row r="53" spans="1:10" ht="16.5" x14ac:dyDescent="0.3">
      <c r="A53" s="494"/>
      <c r="B53" s="511"/>
      <c r="C53" s="511"/>
      <c r="D53" s="511"/>
      <c r="E53" s="511"/>
      <c r="F53" s="511"/>
    </row>
    <row r="54" spans="1:10" ht="16.5" x14ac:dyDescent="0.3">
      <c r="A54" s="494" t="s">
        <v>502</v>
      </c>
      <c r="B54" s="530"/>
      <c r="C54" s="530"/>
      <c r="D54" s="530"/>
      <c r="E54" s="530"/>
      <c r="F54" s="530"/>
    </row>
    <row r="55" spans="1:10" ht="16.5" x14ac:dyDescent="0.3">
      <c r="A55" s="497" t="s">
        <v>503</v>
      </c>
      <c r="B55" s="531"/>
      <c r="C55" s="531"/>
      <c r="D55" s="531"/>
      <c r="E55" s="531"/>
      <c r="F55" s="531"/>
    </row>
    <row r="56" spans="1:10" ht="16.5" x14ac:dyDescent="0.3">
      <c r="A56" s="497" t="s">
        <v>297</v>
      </c>
      <c r="B56" s="532"/>
      <c r="C56" s="532"/>
      <c r="D56" s="532"/>
      <c r="E56" s="532"/>
      <c r="F56" s="532"/>
    </row>
    <row r="57" spans="1:10" x14ac:dyDescent="0.25">
      <c r="C57" s="514"/>
      <c r="D57" s="514"/>
      <c r="E57" s="514"/>
      <c r="F57" s="514"/>
    </row>
    <row r="58" spans="1:10" x14ac:dyDescent="0.25">
      <c r="B58" s="515"/>
      <c r="C58" s="516"/>
      <c r="D58" s="516"/>
      <c r="E58" s="517"/>
      <c r="F58" s="516"/>
      <c r="G58" s="518"/>
    </row>
    <row r="61" spans="1:10" x14ac:dyDescent="0.25">
      <c r="C61" s="518"/>
    </row>
  </sheetData>
  <printOptions horizontalCentered="1"/>
  <pageMargins left="0" right="0" top="0.25" bottom="0.5" header="0" footer="0.25"/>
  <pageSetup scale="75" fitToHeight="2" orientation="portrait" r:id="rId1"/>
  <headerFooter alignWithMargins="0">
    <oddFooter>&amp;LJ:\LAR 2004-2005\&amp;D;&amp;T;&amp;F;&amp;A</oddFooter>
  </headerFooter>
  <rowBreaks count="1" manualBreakCount="1">
    <brk id="5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abColor rgb="FF00B050"/>
    <pageSetUpPr fitToPage="1"/>
  </sheetPr>
  <dimension ref="A1:K179"/>
  <sheetViews>
    <sheetView defaultGridColor="0" colorId="22" zoomScaleNormal="100" workbookViewId="0">
      <selection activeCell="J138" sqref="J138"/>
    </sheetView>
  </sheetViews>
  <sheetFormatPr defaultColWidth="12.5703125" defaultRowHeight="12.75" x14ac:dyDescent="0.2"/>
  <cols>
    <col min="1" max="1" width="2.28515625" style="257" customWidth="1"/>
    <col min="2" max="2" width="2.28515625" style="251" customWidth="1"/>
    <col min="3" max="3" width="73.140625" style="251" customWidth="1"/>
    <col min="4" max="5" width="16" style="251" customWidth="1"/>
    <col min="6" max="8" width="15.85546875" style="251" customWidth="1"/>
    <col min="9" max="9" width="2.5703125" style="251" customWidth="1"/>
    <col min="10" max="10" width="99.140625" style="251" customWidth="1"/>
    <col min="11" max="11" width="68.140625" style="251" bestFit="1" customWidth="1"/>
    <col min="12" max="16384" width="12.5703125" style="251"/>
  </cols>
  <sheetData>
    <row r="1" spans="1:11" s="248" customFormat="1" x14ac:dyDescent="0.2">
      <c r="A1" s="543" t="s">
        <v>261</v>
      </c>
      <c r="B1" s="544"/>
      <c r="C1" s="545"/>
      <c r="D1" s="245" t="s">
        <v>262</v>
      </c>
      <c r="E1" s="245" t="s">
        <v>262</v>
      </c>
      <c r="F1" s="245" t="s">
        <v>263</v>
      </c>
      <c r="G1" s="246" t="s">
        <v>264</v>
      </c>
      <c r="H1" s="405" t="s">
        <v>264</v>
      </c>
      <c r="I1" s="406"/>
      <c r="J1" s="549" t="s">
        <v>265</v>
      </c>
      <c r="K1" s="247"/>
    </row>
    <row r="2" spans="1:11" x14ac:dyDescent="0.2">
      <c r="A2" s="546"/>
      <c r="B2" s="547"/>
      <c r="C2" s="548"/>
      <c r="D2" s="249">
        <f>'INPUT SHEET FOR LAR'!D3-4</f>
        <v>2019</v>
      </c>
      <c r="E2" s="249">
        <f>D2+1</f>
        <v>2020</v>
      </c>
      <c r="F2" s="249">
        <f>E2+1</f>
        <v>2021</v>
      </c>
      <c r="G2" s="249">
        <f>F2+1</f>
        <v>2022</v>
      </c>
      <c r="H2" s="300">
        <f>G2+1</f>
        <v>2023</v>
      </c>
      <c r="I2" s="331"/>
      <c r="J2" s="550"/>
      <c r="K2" s="250"/>
    </row>
    <row r="3" spans="1:11" x14ac:dyDescent="0.2">
      <c r="A3" s="282"/>
      <c r="B3" s="283"/>
      <c r="C3" s="283"/>
      <c r="D3" s="284"/>
      <c r="E3" s="284"/>
      <c r="F3" s="284"/>
      <c r="G3" s="284"/>
      <c r="H3" s="301"/>
      <c r="I3" s="332"/>
      <c r="J3" s="322"/>
    </row>
    <row r="4" spans="1:11" x14ac:dyDescent="0.2">
      <c r="A4" s="295" t="s">
        <v>266</v>
      </c>
      <c r="B4" s="295"/>
      <c r="C4" s="351"/>
      <c r="D4" s="347"/>
      <c r="E4" s="347"/>
      <c r="F4" s="347"/>
      <c r="G4" s="347"/>
      <c r="H4" s="347"/>
      <c r="I4" s="333"/>
      <c r="J4" s="323" t="s">
        <v>266</v>
      </c>
    </row>
    <row r="5" spans="1:11" x14ac:dyDescent="0.2">
      <c r="A5" s="264" t="s">
        <v>267</v>
      </c>
      <c r="B5" s="264"/>
      <c r="C5" s="264"/>
      <c r="D5" s="279"/>
      <c r="E5" s="279"/>
      <c r="F5" s="279"/>
      <c r="G5" s="279"/>
      <c r="H5" s="302"/>
      <c r="I5" s="333"/>
      <c r="J5" s="324"/>
    </row>
    <row r="6" spans="1:11" ht="15" x14ac:dyDescent="0.25">
      <c r="A6" s="265"/>
      <c r="B6" s="266" t="s">
        <v>268</v>
      </c>
      <c r="C6" s="266"/>
      <c r="D6" s="384">
        <v>15466607</v>
      </c>
      <c r="E6" s="384">
        <v>16439327</v>
      </c>
      <c r="F6" s="384">
        <v>16432295</v>
      </c>
      <c r="G6" s="384"/>
      <c r="H6" s="387"/>
      <c r="I6" s="299"/>
      <c r="J6" s="325" t="s">
        <v>312</v>
      </c>
    </row>
    <row r="7" spans="1:11" x14ac:dyDescent="0.2">
      <c r="A7" s="265"/>
      <c r="B7" s="266" t="s">
        <v>270</v>
      </c>
      <c r="C7" s="267"/>
      <c r="D7" s="445"/>
      <c r="E7" s="445"/>
      <c r="F7" s="445"/>
      <c r="G7" s="280"/>
      <c r="H7" s="290"/>
      <c r="I7" s="334"/>
      <c r="J7" s="325"/>
    </row>
    <row r="8" spans="1:11" ht="15" x14ac:dyDescent="0.25">
      <c r="A8" s="265"/>
      <c r="B8" s="267"/>
      <c r="C8" s="267" t="s">
        <v>368</v>
      </c>
      <c r="D8" s="384">
        <v>0</v>
      </c>
      <c r="E8" s="384">
        <v>0</v>
      </c>
      <c r="F8" s="384">
        <v>0</v>
      </c>
      <c r="G8" s="280"/>
      <c r="H8" s="290"/>
      <c r="I8" s="334"/>
      <c r="J8" s="325"/>
    </row>
    <row r="9" spans="1:11" x14ac:dyDescent="0.2">
      <c r="A9" s="265"/>
      <c r="B9" s="266" t="s">
        <v>271</v>
      </c>
      <c r="C9" s="267"/>
      <c r="D9" s="280"/>
      <c r="E9" s="280"/>
      <c r="F9" s="280"/>
      <c r="G9" s="280"/>
      <c r="H9" s="290"/>
      <c r="I9" s="334"/>
      <c r="J9" s="325"/>
    </row>
    <row r="10" spans="1:11" ht="15" x14ac:dyDescent="0.25">
      <c r="A10" s="265"/>
      <c r="B10" s="267"/>
      <c r="C10" s="267" t="s">
        <v>367</v>
      </c>
      <c r="D10" s="414">
        <v>0</v>
      </c>
      <c r="E10" s="384">
        <v>0</v>
      </c>
      <c r="F10" s="384">
        <v>0</v>
      </c>
      <c r="G10" s="410"/>
      <c r="H10" s="303"/>
      <c r="I10" s="299"/>
      <c r="J10" s="325"/>
    </row>
    <row r="11" spans="1:11" x14ac:dyDescent="0.2">
      <c r="A11" s="265"/>
      <c r="B11" s="266" t="s">
        <v>272</v>
      </c>
      <c r="C11" s="267"/>
      <c r="D11" s="280"/>
      <c r="E11" s="280"/>
      <c r="F11" s="280"/>
      <c r="G11" s="290"/>
      <c r="H11" s="304"/>
      <c r="I11" s="334"/>
      <c r="J11" s="325"/>
    </row>
    <row r="12" spans="1:11" s="394" customFormat="1" ht="15" x14ac:dyDescent="0.25">
      <c r="A12" s="388"/>
      <c r="B12" s="389"/>
      <c r="C12" s="390"/>
      <c r="D12" s="384">
        <v>0</v>
      </c>
      <c r="E12" s="384">
        <v>0</v>
      </c>
      <c r="F12" s="384">
        <v>0</v>
      </c>
      <c r="G12" s="391"/>
      <c r="H12" s="392"/>
      <c r="I12" s="334"/>
      <c r="J12" s="393"/>
    </row>
    <row r="13" spans="1:11" x14ac:dyDescent="0.2">
      <c r="A13" s="265"/>
      <c r="B13" s="266" t="s">
        <v>273</v>
      </c>
      <c r="C13" s="268"/>
      <c r="D13" s="280"/>
      <c r="E13" s="280"/>
      <c r="F13" s="280"/>
      <c r="G13" s="290"/>
      <c r="H13" s="304"/>
      <c r="I13" s="334"/>
      <c r="J13" s="325"/>
    </row>
    <row r="14" spans="1:11" ht="15" x14ac:dyDescent="0.25">
      <c r="A14" s="265"/>
      <c r="B14" s="269"/>
      <c r="C14" s="267"/>
      <c r="D14" s="384">
        <v>36086.629999999997</v>
      </c>
      <c r="E14" s="384">
        <v>0</v>
      </c>
      <c r="F14" s="384">
        <v>0</v>
      </c>
      <c r="G14" s="410"/>
      <c r="H14" s="305"/>
      <c r="I14" s="299"/>
      <c r="J14" s="393"/>
    </row>
    <row r="15" spans="1:11" x14ac:dyDescent="0.2">
      <c r="A15" s="265"/>
      <c r="B15" s="266" t="s">
        <v>274</v>
      </c>
      <c r="C15" s="268"/>
      <c r="D15" s="280"/>
      <c r="E15" s="280"/>
      <c r="F15" s="280"/>
      <c r="G15" s="290"/>
      <c r="H15" s="304"/>
      <c r="I15" s="334"/>
      <c r="J15" s="325"/>
    </row>
    <row r="16" spans="1:11" ht="15" x14ac:dyDescent="0.25">
      <c r="A16" s="265"/>
      <c r="B16" s="266"/>
      <c r="C16" s="267"/>
      <c r="D16" s="384">
        <v>0</v>
      </c>
      <c r="E16" s="384">
        <v>0</v>
      </c>
      <c r="F16" s="384">
        <v>0</v>
      </c>
      <c r="G16" s="289"/>
      <c r="H16" s="306"/>
      <c r="I16" s="299"/>
      <c r="J16" s="325"/>
    </row>
    <row r="17" spans="1:10" x14ac:dyDescent="0.2">
      <c r="A17" s="268"/>
      <c r="B17" s="269"/>
      <c r="C17" s="268"/>
      <c r="D17" s="280"/>
      <c r="E17" s="280"/>
      <c r="F17" s="280"/>
      <c r="G17" s="280"/>
      <c r="H17" s="290"/>
      <c r="I17" s="334"/>
      <c r="J17" s="325"/>
    </row>
    <row r="18" spans="1:10" x14ac:dyDescent="0.2">
      <c r="A18" s="270" t="s">
        <v>275</v>
      </c>
      <c r="B18" s="271"/>
      <c r="C18" s="271"/>
      <c r="D18" s="288">
        <f>SUM(D6:D17)</f>
        <v>15502693.630000001</v>
      </c>
      <c r="E18" s="285">
        <f>SUM(E6:E17)</f>
        <v>16439327</v>
      </c>
      <c r="F18" s="285">
        <f>SUM(F6:F17)</f>
        <v>16432295</v>
      </c>
      <c r="G18" s="285">
        <f>SUM(G6:G17)</f>
        <v>0</v>
      </c>
      <c r="H18" s="307">
        <f>SUM(H6:H17)</f>
        <v>0</v>
      </c>
      <c r="I18" s="335"/>
      <c r="J18" s="326"/>
    </row>
    <row r="19" spans="1:10" x14ac:dyDescent="0.2">
      <c r="A19" s="270"/>
      <c r="B19" s="271"/>
      <c r="C19" s="271"/>
      <c r="D19" s="285"/>
      <c r="E19" s="285"/>
      <c r="F19" s="285"/>
      <c r="G19" s="285"/>
      <c r="H19" s="307"/>
      <c r="I19" s="335"/>
      <c r="J19" s="326"/>
    </row>
    <row r="20" spans="1:10" x14ac:dyDescent="0.2">
      <c r="A20" s="272" t="s">
        <v>276</v>
      </c>
      <c r="B20" s="273"/>
      <c r="C20" s="273"/>
      <c r="D20" s="286">
        <f>SUM(D18)</f>
        <v>15502693.630000001</v>
      </c>
      <c r="E20" s="286">
        <f>SUM(E18)</f>
        <v>16439327</v>
      </c>
      <c r="F20" s="286">
        <f>SUM(F18)</f>
        <v>16432295</v>
      </c>
      <c r="G20" s="286">
        <f>SUM(G18)</f>
        <v>0</v>
      </c>
      <c r="H20" s="308">
        <f>SUM(H18)</f>
        <v>0</v>
      </c>
      <c r="I20" s="336"/>
      <c r="J20" s="327"/>
    </row>
    <row r="21" spans="1:10" x14ac:dyDescent="0.2">
      <c r="A21" s="268"/>
      <c r="B21" s="269"/>
      <c r="C21" s="268"/>
      <c r="D21" s="281"/>
      <c r="E21" s="281"/>
      <c r="F21" s="281"/>
      <c r="G21" s="281"/>
      <c r="H21" s="309"/>
      <c r="I21" s="332"/>
      <c r="J21" s="325"/>
    </row>
    <row r="22" spans="1:10" x14ac:dyDescent="0.2">
      <c r="A22" s="295" t="s">
        <v>277</v>
      </c>
      <c r="B22" s="295"/>
      <c r="C22" s="346"/>
      <c r="D22" s="347"/>
      <c r="E22" s="347"/>
      <c r="F22" s="347"/>
      <c r="G22" s="347"/>
      <c r="H22" s="347"/>
      <c r="I22" s="337"/>
      <c r="J22" s="323" t="s">
        <v>277</v>
      </c>
    </row>
    <row r="23" spans="1:10" x14ac:dyDescent="0.2">
      <c r="A23" s="264" t="s">
        <v>278</v>
      </c>
      <c r="B23" s="270"/>
      <c r="C23" s="275"/>
      <c r="D23" s="275"/>
      <c r="E23" s="275"/>
      <c r="F23" s="275"/>
      <c r="G23" s="275"/>
      <c r="H23" s="294"/>
      <c r="I23" s="338"/>
      <c r="J23" s="328"/>
    </row>
    <row r="24" spans="1:10" ht="15" x14ac:dyDescent="0.25">
      <c r="A24" s="270"/>
      <c r="B24" s="266" t="s">
        <v>268</v>
      </c>
      <c r="C24" s="275"/>
      <c r="D24" s="384">
        <v>35000</v>
      </c>
      <c r="E24" s="384">
        <v>70000</v>
      </c>
      <c r="F24" s="384">
        <v>70000</v>
      </c>
      <c r="G24" s="289"/>
      <c r="H24" s="305"/>
      <c r="I24" s="299"/>
      <c r="J24" s="329" t="s">
        <v>304</v>
      </c>
    </row>
    <row r="25" spans="1:10" x14ac:dyDescent="0.2">
      <c r="A25" s="270"/>
      <c r="B25" s="276"/>
      <c r="C25" s="275"/>
      <c r="D25" s="275"/>
      <c r="E25" s="287"/>
      <c r="F25" s="287"/>
      <c r="G25" s="290"/>
      <c r="H25" s="304"/>
      <c r="I25" s="334"/>
      <c r="J25" s="328"/>
    </row>
    <row r="26" spans="1:10" ht="15" x14ac:dyDescent="0.25">
      <c r="A26" s="270"/>
      <c r="B26" s="266" t="s">
        <v>279</v>
      </c>
      <c r="C26" s="275"/>
      <c r="D26" s="417">
        <f>(-'LAR Schedule 1A'!C40)-'Base Recon'!D24</f>
        <v>70710</v>
      </c>
      <c r="E26" s="417">
        <f>(-'LAR Schedule 1A'!D40)-'Base Recon'!E24</f>
        <v>70180</v>
      </c>
      <c r="F26" s="417">
        <f>(-'LAR Schedule 1A'!E40)-'Base Recon'!F24</f>
        <v>53739</v>
      </c>
      <c r="G26" s="410"/>
      <c r="H26" s="304"/>
      <c r="I26" s="334"/>
      <c r="J26" s="440" t="s">
        <v>517</v>
      </c>
    </row>
    <row r="27" spans="1:10" ht="15" x14ac:dyDescent="0.25">
      <c r="A27" s="270"/>
      <c r="B27" s="270"/>
      <c r="C27" s="275"/>
      <c r="D27" s="275"/>
      <c r="E27" s="275"/>
      <c r="F27" s="275"/>
      <c r="G27" s="289"/>
      <c r="H27" s="305"/>
      <c r="I27" s="299"/>
      <c r="J27" s="328"/>
    </row>
    <row r="28" spans="1:10" x14ac:dyDescent="0.2">
      <c r="A28" s="264" t="s">
        <v>280</v>
      </c>
      <c r="B28" s="270"/>
      <c r="C28" s="275"/>
      <c r="D28" s="288">
        <f>D24+D26</f>
        <v>105710</v>
      </c>
      <c r="E28" s="288">
        <f>E24+E26</f>
        <v>140180</v>
      </c>
      <c r="F28" s="288">
        <f>F24+F26</f>
        <v>123739</v>
      </c>
      <c r="G28" s="275"/>
      <c r="H28" s="294"/>
      <c r="I28" s="338"/>
      <c r="J28" s="328"/>
    </row>
    <row r="29" spans="1:10" x14ac:dyDescent="0.2">
      <c r="A29" s="270"/>
      <c r="B29" s="270"/>
      <c r="C29" s="275"/>
      <c r="D29" s="275"/>
      <c r="E29" s="275"/>
      <c r="F29" s="275"/>
      <c r="G29" s="275"/>
      <c r="H29" s="294"/>
      <c r="I29" s="338"/>
      <c r="J29" s="328"/>
    </row>
    <row r="30" spans="1:10" x14ac:dyDescent="0.2">
      <c r="A30" s="270"/>
      <c r="B30" s="270"/>
      <c r="C30" s="275"/>
      <c r="D30" s="275"/>
      <c r="E30" s="275"/>
      <c r="F30" s="275"/>
      <c r="G30" s="275"/>
      <c r="H30" s="294"/>
      <c r="I30" s="338"/>
      <c r="J30" s="328"/>
    </row>
    <row r="31" spans="1:10" x14ac:dyDescent="0.2">
      <c r="A31" s="264" t="s">
        <v>281</v>
      </c>
      <c r="B31" s="264"/>
      <c r="C31" s="264"/>
      <c r="D31" s="275"/>
      <c r="E31" s="275"/>
      <c r="F31" s="275"/>
      <c r="G31" s="279"/>
      <c r="H31" s="302"/>
      <c r="I31" s="333"/>
      <c r="J31" s="324"/>
    </row>
    <row r="32" spans="1:10" ht="15" x14ac:dyDescent="0.25">
      <c r="A32" s="265"/>
      <c r="B32" s="266" t="s">
        <v>268</v>
      </c>
      <c r="C32" s="266"/>
      <c r="D32" s="3">
        <v>3403204</v>
      </c>
      <c r="E32" s="3">
        <v>3625592</v>
      </c>
      <c r="F32" s="3">
        <v>3660859</v>
      </c>
      <c r="G32" s="3"/>
      <c r="H32" s="3"/>
      <c r="I32" s="299"/>
      <c r="J32" s="325" t="s">
        <v>282</v>
      </c>
    </row>
    <row r="33" spans="1:11" x14ac:dyDescent="0.2">
      <c r="A33" s="266"/>
      <c r="B33" s="276"/>
      <c r="C33" s="268"/>
      <c r="D33" s="280"/>
      <c r="E33" s="280"/>
      <c r="F33" s="280"/>
      <c r="G33" s="280"/>
      <c r="H33" s="290"/>
      <c r="I33" s="334"/>
      <c r="J33" s="325"/>
    </row>
    <row r="34" spans="1:11" ht="26.25" x14ac:dyDescent="0.25">
      <c r="A34" s="266"/>
      <c r="B34" s="266" t="s">
        <v>279</v>
      </c>
      <c r="C34" s="268"/>
      <c r="D34" s="416">
        <f>'LAR Schedule 1A'!C124-SUM('Base Recon'!D28,'Base Recon'!D32)</f>
        <v>195012.46790983016</v>
      </c>
      <c r="E34" s="416">
        <f>'LAR Schedule 1A'!D124-SUM('Base Recon'!E28,'Base Recon'!E32)</f>
        <v>220218.53523040097</v>
      </c>
      <c r="F34" s="416">
        <f>'LAR Schedule 1A'!E124-SUM('Base Recon'!F28,'Base Recon'!F32)</f>
        <v>523111.28660799935</v>
      </c>
      <c r="G34" s="410"/>
      <c r="H34" s="411"/>
      <c r="I34" s="334"/>
      <c r="J34" s="441" t="s">
        <v>518</v>
      </c>
      <c r="K34" s="251" t="s">
        <v>283</v>
      </c>
    </row>
    <row r="35" spans="1:11" x14ac:dyDescent="0.2">
      <c r="A35" s="266"/>
      <c r="B35" s="276"/>
      <c r="C35" s="268"/>
      <c r="D35" s="280"/>
      <c r="E35" s="280"/>
      <c r="F35" s="280"/>
      <c r="G35" s="280"/>
      <c r="H35" s="290"/>
      <c r="I35" s="334"/>
      <c r="J35" s="325"/>
    </row>
    <row r="36" spans="1:11" ht="15" x14ac:dyDescent="0.25">
      <c r="A36" s="265"/>
      <c r="B36" s="266" t="s">
        <v>270</v>
      </c>
      <c r="C36" s="267"/>
      <c r="D36" s="3">
        <v>0</v>
      </c>
      <c r="E36" s="3">
        <v>0</v>
      </c>
      <c r="F36" s="3">
        <v>0</v>
      </c>
      <c r="G36" s="280"/>
      <c r="H36" s="290"/>
      <c r="I36" s="334"/>
      <c r="J36" s="325"/>
    </row>
    <row r="37" spans="1:11" x14ac:dyDescent="0.2">
      <c r="A37" s="265"/>
      <c r="B37" s="266"/>
      <c r="C37" s="267"/>
      <c r="D37" s="280"/>
      <c r="E37" s="280"/>
      <c r="F37" s="280"/>
      <c r="G37" s="280"/>
      <c r="H37" s="290"/>
      <c r="I37" s="334"/>
      <c r="J37" s="325"/>
    </row>
    <row r="38" spans="1:11" ht="15" x14ac:dyDescent="0.25">
      <c r="A38" s="265"/>
      <c r="B38" s="266" t="s">
        <v>271</v>
      </c>
      <c r="C38" s="267"/>
      <c r="D38" s="3">
        <v>0</v>
      </c>
      <c r="E38" s="3">
        <v>0</v>
      </c>
      <c r="F38" s="3">
        <v>0</v>
      </c>
      <c r="G38" s="280"/>
      <c r="H38" s="290"/>
      <c r="I38" s="334"/>
      <c r="J38" s="325"/>
    </row>
    <row r="39" spans="1:11" x14ac:dyDescent="0.2">
      <c r="A39" s="265"/>
      <c r="B39" s="266"/>
      <c r="C39" s="267"/>
      <c r="D39" s="280"/>
      <c r="E39" s="280"/>
      <c r="F39" s="280"/>
      <c r="G39" s="280"/>
      <c r="H39" s="290"/>
      <c r="I39" s="334"/>
      <c r="J39" s="325"/>
    </row>
    <row r="40" spans="1:11" ht="15" x14ac:dyDescent="0.25">
      <c r="A40" s="265"/>
      <c r="B40" s="266" t="s">
        <v>272</v>
      </c>
      <c r="C40" s="267"/>
      <c r="D40" s="3">
        <v>0</v>
      </c>
      <c r="E40" s="3">
        <v>0</v>
      </c>
      <c r="F40" s="3">
        <v>0</v>
      </c>
      <c r="G40" s="280"/>
      <c r="H40" s="290"/>
      <c r="I40" s="334"/>
      <c r="J40" s="325"/>
    </row>
    <row r="41" spans="1:11" x14ac:dyDescent="0.2">
      <c r="A41" s="265"/>
      <c r="B41" s="266"/>
      <c r="C41" s="268"/>
      <c r="D41" s="280"/>
      <c r="E41" s="280"/>
      <c r="F41" s="280"/>
      <c r="G41" s="280"/>
      <c r="H41" s="290"/>
      <c r="I41" s="334"/>
      <c r="J41" s="325"/>
    </row>
    <row r="42" spans="1:11" ht="15" x14ac:dyDescent="0.25">
      <c r="A42" s="265"/>
      <c r="B42" s="266" t="s">
        <v>313</v>
      </c>
      <c r="C42" s="267"/>
      <c r="D42" s="419">
        <f>(2585231.21+183829.69)-SUM(D28,D32,D34)</f>
        <v>-934865.56790983025</v>
      </c>
      <c r="E42" s="419">
        <f>(3626196)-SUM(E28,E32,E34)+100000</f>
        <v>-259794.53523040097</v>
      </c>
      <c r="F42" s="419">
        <f>(4266329)-SUM(F28,F32,F34)+100000</f>
        <v>58619.713392000645</v>
      </c>
      <c r="G42" s="410"/>
      <c r="H42" s="290"/>
      <c r="I42" s="334"/>
      <c r="J42" s="280" t="s">
        <v>363</v>
      </c>
      <c r="K42" s="251" t="s">
        <v>519</v>
      </c>
    </row>
    <row r="43" spans="1:11" x14ac:dyDescent="0.2">
      <c r="A43" s="265"/>
      <c r="B43" s="269"/>
      <c r="C43" s="268"/>
      <c r="D43" s="293"/>
      <c r="E43" s="293"/>
      <c r="F43" s="293"/>
      <c r="G43" s="280"/>
      <c r="H43" s="290"/>
      <c r="I43" s="334"/>
      <c r="J43" s="325"/>
    </row>
    <row r="44" spans="1:11" ht="15" x14ac:dyDescent="0.25">
      <c r="A44" s="265"/>
      <c r="B44" s="266" t="s">
        <v>274</v>
      </c>
      <c r="C44" s="267"/>
      <c r="D44" s="3">
        <v>0</v>
      </c>
      <c r="E44" s="3">
        <v>0</v>
      </c>
      <c r="F44" s="3">
        <v>0</v>
      </c>
      <c r="G44" s="280"/>
      <c r="H44" s="290"/>
      <c r="I44" s="334"/>
      <c r="J44" s="325"/>
    </row>
    <row r="45" spans="1:11" x14ac:dyDescent="0.2">
      <c r="A45" s="268"/>
      <c r="B45" s="269"/>
      <c r="C45" s="268"/>
      <c r="D45" s="280"/>
      <c r="E45" s="280"/>
      <c r="F45" s="280"/>
      <c r="G45" s="280"/>
      <c r="H45" s="290"/>
      <c r="I45" s="334"/>
      <c r="J45" s="325"/>
    </row>
    <row r="46" spans="1:11" x14ac:dyDescent="0.2">
      <c r="A46" s="264" t="s">
        <v>284</v>
      </c>
      <c r="B46" s="271"/>
      <c r="C46" s="271"/>
      <c r="D46" s="288">
        <f>SUM(D32:D45)</f>
        <v>2663350.9</v>
      </c>
      <c r="E46" s="285">
        <f>SUM(E32:E45)</f>
        <v>3586016</v>
      </c>
      <c r="F46" s="285">
        <f>SUM(F32:F45)</f>
        <v>4242590</v>
      </c>
      <c r="G46" s="285">
        <f>SUM(G32:G45)</f>
        <v>0</v>
      </c>
      <c r="H46" s="307">
        <f>SUM(H32:H45)</f>
        <v>0</v>
      </c>
      <c r="I46" s="335"/>
      <c r="J46" s="326"/>
    </row>
    <row r="47" spans="1:11" x14ac:dyDescent="0.2">
      <c r="A47" s="264"/>
      <c r="B47" s="271"/>
      <c r="C47" s="271"/>
      <c r="D47" s="285"/>
      <c r="E47" s="285"/>
      <c r="F47" s="285"/>
      <c r="G47" s="285"/>
      <c r="H47" s="307"/>
      <c r="I47" s="335"/>
      <c r="J47" s="326"/>
    </row>
    <row r="48" spans="1:11" ht="25.5" x14ac:dyDescent="0.2">
      <c r="A48" s="551" t="s">
        <v>397</v>
      </c>
      <c r="B48" s="552"/>
      <c r="C48" s="553"/>
      <c r="D48" s="275"/>
      <c r="E48" s="275"/>
      <c r="F48" s="275"/>
      <c r="G48" s="275"/>
      <c r="H48" s="294"/>
      <c r="I48" s="338"/>
      <c r="J48" s="444" t="s">
        <v>513</v>
      </c>
    </row>
    <row r="49" spans="1:10" ht="15" x14ac:dyDescent="0.25">
      <c r="A49" s="270"/>
      <c r="B49" s="266" t="s">
        <v>268</v>
      </c>
      <c r="C49" s="275"/>
      <c r="D49" s="3">
        <v>0</v>
      </c>
      <c r="E49" s="3">
        <v>0</v>
      </c>
      <c r="F49" s="3">
        <v>0</v>
      </c>
      <c r="G49" s="289"/>
      <c r="H49" s="303"/>
      <c r="I49" s="299"/>
      <c r="J49" s="328"/>
    </row>
    <row r="50" spans="1:10" x14ac:dyDescent="0.2">
      <c r="A50" s="270"/>
      <c r="B50" s="276"/>
      <c r="C50" s="275"/>
      <c r="D50" s="287"/>
      <c r="E50" s="287"/>
      <c r="F50" s="287"/>
      <c r="G50" s="294"/>
      <c r="H50" s="310"/>
      <c r="I50" s="338"/>
      <c r="J50" s="328"/>
    </row>
    <row r="51" spans="1:10" ht="15" x14ac:dyDescent="0.25">
      <c r="A51" s="270"/>
      <c r="B51" s="266" t="s">
        <v>279</v>
      </c>
      <c r="C51" s="275"/>
      <c r="D51" s="3">
        <v>0</v>
      </c>
      <c r="E51" s="3">
        <v>0</v>
      </c>
      <c r="F51" s="3">
        <v>0</v>
      </c>
      <c r="G51" s="289"/>
      <c r="H51" s="306"/>
      <c r="I51" s="299"/>
      <c r="J51" s="330"/>
    </row>
    <row r="52" spans="1:10" x14ac:dyDescent="0.2">
      <c r="A52" s="270"/>
      <c r="B52" s="270"/>
      <c r="C52" s="275"/>
      <c r="D52" s="275"/>
      <c r="E52" s="275"/>
      <c r="F52" s="275"/>
      <c r="G52" s="275"/>
      <c r="H52" s="294"/>
      <c r="I52" s="338"/>
      <c r="J52" s="328"/>
    </row>
    <row r="53" spans="1:10" x14ac:dyDescent="0.2">
      <c r="A53" s="270" t="str">
        <f>"Total "&amp;A48</f>
        <v>Total Other GR Dedicated Funds (select from drop down list)</v>
      </c>
      <c r="B53" s="270"/>
      <c r="C53" s="275"/>
      <c r="D53" s="288">
        <f>D49+D51</f>
        <v>0</v>
      </c>
      <c r="E53" s="288">
        <f>E49+E51</f>
        <v>0</v>
      </c>
      <c r="F53" s="288">
        <f>F49+F51</f>
        <v>0</v>
      </c>
      <c r="G53" s="275"/>
      <c r="H53" s="294"/>
      <c r="I53" s="338"/>
      <c r="J53" s="328"/>
    </row>
    <row r="54" spans="1:10" x14ac:dyDescent="0.2">
      <c r="A54" s="264"/>
      <c r="B54" s="270"/>
      <c r="C54" s="275"/>
      <c r="D54" s="288"/>
      <c r="E54" s="288"/>
      <c r="F54" s="288"/>
      <c r="G54" s="275"/>
      <c r="H54" s="294"/>
      <c r="I54" s="338"/>
      <c r="J54" s="328"/>
    </row>
    <row r="55" spans="1:10" x14ac:dyDescent="0.2">
      <c r="A55" s="272" t="s">
        <v>285</v>
      </c>
      <c r="B55" s="273"/>
      <c r="C55" s="273"/>
      <c r="D55" s="428">
        <f>D28+D46+D53</f>
        <v>2769060.9</v>
      </c>
      <c r="E55" s="428">
        <f t="shared" ref="E55:H55" si="0">E28+E46+E53</f>
        <v>3726196</v>
      </c>
      <c r="F55" s="428">
        <f t="shared" si="0"/>
        <v>4366329</v>
      </c>
      <c r="G55" s="428">
        <f t="shared" si="0"/>
        <v>0</v>
      </c>
      <c r="H55" s="428">
        <f t="shared" si="0"/>
        <v>0</v>
      </c>
      <c r="I55" s="336"/>
      <c r="J55" s="442" t="s">
        <v>520</v>
      </c>
    </row>
    <row r="56" spans="1:10" x14ac:dyDescent="0.2">
      <c r="A56" s="268"/>
      <c r="B56" s="269"/>
      <c r="C56" s="268"/>
      <c r="D56" s="281"/>
      <c r="E56" s="281"/>
      <c r="F56" s="281"/>
      <c r="G56" s="281"/>
      <c r="H56" s="309"/>
      <c r="I56" s="332"/>
      <c r="J56" s="325"/>
    </row>
    <row r="57" spans="1:10" x14ac:dyDescent="0.2">
      <c r="A57" s="268"/>
      <c r="B57" s="269"/>
      <c r="C57" s="268"/>
      <c r="D57" s="281"/>
      <c r="E57" s="281"/>
      <c r="F57" s="281"/>
      <c r="G57" s="281"/>
      <c r="H57" s="309"/>
      <c r="I57" s="332"/>
      <c r="J57" s="325"/>
    </row>
    <row r="58" spans="1:10" ht="12.75" hidden="1" customHeight="1" x14ac:dyDescent="0.2">
      <c r="A58" s="264" t="s">
        <v>286</v>
      </c>
      <c r="B58" s="264"/>
      <c r="C58" s="264"/>
      <c r="D58" s="255"/>
      <c r="E58" s="255"/>
      <c r="F58" s="255"/>
      <c r="G58" s="255"/>
      <c r="H58" s="311"/>
      <c r="I58" s="337"/>
      <c r="J58" s="324" t="s">
        <v>286</v>
      </c>
    </row>
    <row r="59" spans="1:10" ht="12.75" hidden="1" customHeight="1" x14ac:dyDescent="0.2">
      <c r="A59" s="272" t="s">
        <v>287</v>
      </c>
      <c r="B59" s="273"/>
      <c r="C59" s="277"/>
      <c r="D59" s="252"/>
      <c r="E59" s="252"/>
      <c r="F59" s="252"/>
      <c r="G59" s="252"/>
      <c r="H59" s="312"/>
      <c r="I59" s="334"/>
      <c r="J59" s="327"/>
    </row>
    <row r="60" spans="1:10" ht="12.75" hidden="1" customHeight="1" x14ac:dyDescent="0.2">
      <c r="A60" s="270"/>
      <c r="B60" s="266" t="s">
        <v>288</v>
      </c>
      <c r="C60" s="270"/>
      <c r="D60" s="256"/>
      <c r="E60" s="256"/>
      <c r="F60" s="256"/>
      <c r="G60" s="256"/>
      <c r="H60" s="313"/>
      <c r="I60" s="338"/>
      <c r="J60" s="328"/>
    </row>
    <row r="61" spans="1:10" ht="12.75" hidden="1" customHeight="1" x14ac:dyDescent="0.2">
      <c r="A61" s="270"/>
      <c r="B61" s="276"/>
      <c r="C61" s="265" t="s">
        <v>289</v>
      </c>
      <c r="D61" s="256"/>
      <c r="E61" s="243"/>
      <c r="F61" s="256"/>
      <c r="G61" s="256"/>
      <c r="H61" s="313"/>
      <c r="I61" s="338"/>
      <c r="J61" s="325"/>
    </row>
    <row r="62" spans="1:10" ht="12.75" hidden="1" customHeight="1" x14ac:dyDescent="0.2">
      <c r="A62" s="270"/>
      <c r="B62" s="266" t="s">
        <v>270</v>
      </c>
      <c r="C62" s="270"/>
      <c r="D62" s="256"/>
      <c r="E62" s="256"/>
      <c r="F62" s="256"/>
      <c r="G62" s="256"/>
      <c r="H62" s="313"/>
      <c r="I62" s="338"/>
      <c r="J62" s="328"/>
    </row>
    <row r="63" spans="1:10" ht="12.75" hidden="1" customHeight="1" x14ac:dyDescent="0.2">
      <c r="A63" s="270"/>
      <c r="B63" s="266"/>
      <c r="C63" s="270"/>
      <c r="D63" s="256"/>
      <c r="E63" s="256"/>
      <c r="F63" s="256"/>
      <c r="G63" s="256"/>
      <c r="H63" s="313"/>
      <c r="I63" s="338"/>
      <c r="J63" s="328"/>
    </row>
    <row r="64" spans="1:10" ht="12.75" hidden="1" customHeight="1" x14ac:dyDescent="0.2">
      <c r="A64" s="270"/>
      <c r="B64" s="266" t="s">
        <v>271</v>
      </c>
      <c r="C64" s="270"/>
      <c r="D64" s="256"/>
      <c r="E64" s="256"/>
      <c r="F64" s="256"/>
      <c r="G64" s="256"/>
      <c r="H64" s="313"/>
      <c r="I64" s="338"/>
      <c r="J64" s="328"/>
    </row>
    <row r="65" spans="1:10" ht="12.75" hidden="1" customHeight="1" x14ac:dyDescent="0.2">
      <c r="A65" s="270"/>
      <c r="B65" s="266"/>
      <c r="C65" s="270"/>
      <c r="D65" s="256"/>
      <c r="E65" s="256"/>
      <c r="F65" s="256"/>
      <c r="G65" s="256"/>
      <c r="H65" s="313"/>
      <c r="I65" s="338"/>
      <c r="J65" s="328"/>
    </row>
    <row r="66" spans="1:10" ht="12.75" hidden="1" customHeight="1" x14ac:dyDescent="0.2">
      <c r="A66" s="270"/>
      <c r="B66" s="266" t="s">
        <v>272</v>
      </c>
      <c r="C66" s="270"/>
      <c r="D66" s="256"/>
      <c r="E66" s="256"/>
      <c r="F66" s="256"/>
      <c r="G66" s="256"/>
      <c r="H66" s="313"/>
      <c r="I66" s="338"/>
      <c r="J66" s="328"/>
    </row>
    <row r="67" spans="1:10" ht="12.75" hidden="1" customHeight="1" x14ac:dyDescent="0.2">
      <c r="A67" s="270"/>
      <c r="B67" s="266"/>
      <c r="C67" s="270"/>
      <c r="D67" s="256"/>
      <c r="E67" s="256"/>
      <c r="F67" s="256"/>
      <c r="G67" s="256"/>
      <c r="H67" s="313"/>
      <c r="I67" s="338"/>
      <c r="J67" s="328"/>
    </row>
    <row r="68" spans="1:10" ht="12.75" hidden="1" customHeight="1" x14ac:dyDescent="0.2">
      <c r="A68" s="270"/>
      <c r="B68" s="266" t="s">
        <v>273</v>
      </c>
      <c r="C68" s="270"/>
      <c r="D68" s="256"/>
      <c r="E68" s="256"/>
      <c r="F68" s="256"/>
      <c r="G68" s="256"/>
      <c r="H68" s="313"/>
      <c r="I68" s="338"/>
      <c r="J68" s="328"/>
    </row>
    <row r="69" spans="1:10" ht="12.75" hidden="1" customHeight="1" x14ac:dyDescent="0.2">
      <c r="A69" s="270"/>
      <c r="B69" s="269"/>
      <c r="C69" s="270"/>
      <c r="D69" s="256"/>
      <c r="E69" s="256"/>
      <c r="F69" s="256"/>
      <c r="G69" s="256"/>
      <c r="H69" s="313"/>
      <c r="I69" s="338"/>
      <c r="J69" s="328"/>
    </row>
    <row r="70" spans="1:10" ht="12.75" hidden="1" customHeight="1" x14ac:dyDescent="0.2">
      <c r="A70" s="270"/>
      <c r="B70" s="266" t="s">
        <v>274</v>
      </c>
      <c r="C70" s="270"/>
      <c r="D70" s="256"/>
      <c r="E70" s="256"/>
      <c r="F70" s="256"/>
      <c r="G70" s="256"/>
      <c r="H70" s="313"/>
      <c r="I70" s="338"/>
      <c r="J70" s="328"/>
    </row>
    <row r="71" spans="1:10" ht="12.75" hidden="1" customHeight="1" x14ac:dyDescent="0.2">
      <c r="A71" s="270"/>
      <c r="B71" s="266"/>
      <c r="C71" s="270"/>
      <c r="D71" s="256"/>
      <c r="E71" s="256"/>
      <c r="F71" s="256"/>
      <c r="G71" s="256"/>
      <c r="H71" s="313"/>
      <c r="I71" s="338"/>
      <c r="J71" s="328"/>
    </row>
    <row r="72" spans="1:10" ht="12.75" hidden="1" customHeight="1" x14ac:dyDescent="0.2">
      <c r="A72" s="272" t="s">
        <v>290</v>
      </c>
      <c r="B72" s="270"/>
      <c r="C72" s="270"/>
      <c r="D72" s="244">
        <f>SUM(D60:D71)</f>
        <v>0</v>
      </c>
      <c r="E72" s="244">
        <f t="shared" ref="E72:F72" si="1">SUM(E60:E71)</f>
        <v>0</v>
      </c>
      <c r="F72" s="244">
        <f t="shared" si="1"/>
        <v>0</v>
      </c>
      <c r="G72" s="256"/>
      <c r="H72" s="313"/>
      <c r="I72" s="338"/>
      <c r="J72" s="328"/>
    </row>
    <row r="73" spans="1:10" ht="12.75" hidden="1" customHeight="1" x14ac:dyDescent="0.2">
      <c r="A73" s="270"/>
      <c r="B73" s="270"/>
      <c r="C73" s="270"/>
      <c r="D73" s="256"/>
      <c r="E73" s="256"/>
      <c r="F73" s="256"/>
      <c r="G73" s="256"/>
      <c r="H73" s="313"/>
      <c r="I73" s="338"/>
      <c r="J73" s="328"/>
    </row>
    <row r="74" spans="1:10" ht="12.75" hidden="1" customHeight="1" x14ac:dyDescent="0.2">
      <c r="A74" s="272" t="s">
        <v>291</v>
      </c>
      <c r="B74" s="273"/>
      <c r="C74" s="277"/>
      <c r="D74" s="252"/>
      <c r="E74" s="252"/>
      <c r="F74" s="252"/>
      <c r="G74" s="252"/>
      <c r="H74" s="312"/>
      <c r="I74" s="334"/>
      <c r="J74" s="327"/>
    </row>
    <row r="75" spans="1:10" ht="12.75" hidden="1" customHeight="1" x14ac:dyDescent="0.2">
      <c r="A75" s="265"/>
      <c r="B75" s="266" t="s">
        <v>268</v>
      </c>
      <c r="C75" s="266"/>
      <c r="D75" s="252"/>
      <c r="E75" s="252"/>
      <c r="F75" s="252"/>
      <c r="G75" s="252"/>
      <c r="H75" s="312"/>
      <c r="I75" s="334"/>
      <c r="J75" s="327"/>
    </row>
    <row r="76" spans="1:10" ht="12.75" hidden="1" customHeight="1" x14ac:dyDescent="0.2">
      <c r="A76" s="266"/>
      <c r="B76" s="276"/>
      <c r="C76" s="268"/>
      <c r="D76" s="252"/>
      <c r="E76" s="252"/>
      <c r="F76" s="252"/>
      <c r="G76" s="252"/>
      <c r="H76" s="312"/>
      <c r="I76" s="334"/>
      <c r="J76" s="327"/>
    </row>
    <row r="77" spans="1:10" ht="12.75" hidden="1" customHeight="1" x14ac:dyDescent="0.2">
      <c r="A77" s="265"/>
      <c r="B77" s="266" t="s">
        <v>270</v>
      </c>
      <c r="C77" s="267"/>
      <c r="D77" s="252"/>
      <c r="E77" s="252"/>
      <c r="F77" s="252"/>
      <c r="G77" s="252"/>
      <c r="H77" s="312"/>
      <c r="I77" s="334"/>
      <c r="J77" s="327"/>
    </row>
    <row r="78" spans="1:10" ht="12.75" hidden="1" customHeight="1" x14ac:dyDescent="0.2">
      <c r="A78" s="265"/>
      <c r="B78" s="266"/>
      <c r="C78" s="267"/>
      <c r="D78" s="252"/>
      <c r="E78" s="252"/>
      <c r="F78" s="252"/>
      <c r="G78" s="252"/>
      <c r="H78" s="312"/>
      <c r="I78" s="334"/>
      <c r="J78" s="327"/>
    </row>
    <row r="79" spans="1:10" ht="12.75" hidden="1" customHeight="1" x14ac:dyDescent="0.2">
      <c r="A79" s="265"/>
      <c r="B79" s="266" t="s">
        <v>271</v>
      </c>
      <c r="C79" s="267"/>
      <c r="D79" s="252"/>
      <c r="E79" s="252"/>
      <c r="F79" s="252"/>
      <c r="G79" s="252"/>
      <c r="H79" s="312"/>
      <c r="I79" s="334"/>
      <c r="J79" s="327"/>
    </row>
    <row r="80" spans="1:10" ht="12.75" hidden="1" customHeight="1" x14ac:dyDescent="0.2">
      <c r="A80" s="265"/>
      <c r="B80" s="266"/>
      <c r="C80" s="267"/>
      <c r="D80" s="252"/>
      <c r="E80" s="252"/>
      <c r="F80" s="252"/>
      <c r="G80" s="252"/>
      <c r="H80" s="312"/>
      <c r="I80" s="334"/>
      <c r="J80" s="327"/>
    </row>
    <row r="81" spans="1:10" ht="12.75" hidden="1" customHeight="1" x14ac:dyDescent="0.2">
      <c r="A81" s="265"/>
      <c r="B81" s="266" t="s">
        <v>272</v>
      </c>
      <c r="C81" s="267"/>
      <c r="D81" s="252"/>
      <c r="E81" s="252"/>
      <c r="F81" s="252"/>
      <c r="G81" s="252"/>
      <c r="H81" s="312"/>
      <c r="I81" s="334"/>
      <c r="J81" s="327"/>
    </row>
    <row r="82" spans="1:10" ht="12.75" hidden="1" customHeight="1" x14ac:dyDescent="0.2">
      <c r="A82" s="265"/>
      <c r="B82" s="266"/>
      <c r="C82" s="268"/>
      <c r="D82" s="252"/>
      <c r="E82" s="252"/>
      <c r="F82" s="252"/>
      <c r="G82" s="252"/>
      <c r="H82" s="312"/>
      <c r="I82" s="334"/>
      <c r="J82" s="327"/>
    </row>
    <row r="83" spans="1:10" ht="12.75" hidden="1" customHeight="1" x14ac:dyDescent="0.2">
      <c r="A83" s="265"/>
      <c r="B83" s="266" t="s">
        <v>273</v>
      </c>
      <c r="C83" s="267"/>
      <c r="D83" s="252"/>
      <c r="E83" s="252"/>
      <c r="F83" s="252"/>
      <c r="G83" s="252"/>
      <c r="H83" s="312"/>
      <c r="I83" s="334"/>
      <c r="J83" s="327"/>
    </row>
    <row r="84" spans="1:10" ht="12.75" hidden="1" customHeight="1" x14ac:dyDescent="0.2">
      <c r="A84" s="265"/>
      <c r="B84" s="269"/>
      <c r="C84" s="268"/>
      <c r="D84" s="252"/>
      <c r="E84" s="252"/>
      <c r="F84" s="252"/>
      <c r="G84" s="252"/>
      <c r="H84" s="312"/>
      <c r="I84" s="334"/>
      <c r="J84" s="327"/>
    </row>
    <row r="85" spans="1:10" ht="12.75" hidden="1" customHeight="1" x14ac:dyDescent="0.2">
      <c r="A85" s="265"/>
      <c r="B85" s="266" t="s">
        <v>274</v>
      </c>
      <c r="C85" s="267"/>
      <c r="D85" s="252"/>
      <c r="E85" s="252"/>
      <c r="F85" s="252"/>
      <c r="G85" s="252"/>
      <c r="H85" s="312"/>
      <c r="I85" s="334"/>
      <c r="J85" s="327"/>
    </row>
    <row r="86" spans="1:10" ht="12.75" hidden="1" customHeight="1" x14ac:dyDescent="0.2">
      <c r="A86" s="268"/>
      <c r="B86" s="269"/>
      <c r="C86" s="268"/>
      <c r="D86" s="252"/>
      <c r="E86" s="252"/>
      <c r="F86" s="252"/>
      <c r="G86" s="252"/>
      <c r="H86" s="312"/>
      <c r="I86" s="334"/>
      <c r="J86" s="327"/>
    </row>
    <row r="87" spans="1:10" ht="12.75" hidden="1" customHeight="1" x14ac:dyDescent="0.2">
      <c r="A87" s="270" t="s">
        <v>292</v>
      </c>
      <c r="B87" s="271"/>
      <c r="C87" s="276"/>
      <c r="D87" s="253">
        <f>SUM(D74:D86)</f>
        <v>0</v>
      </c>
      <c r="E87" s="253">
        <f>SUM(E74:E86)</f>
        <v>0</v>
      </c>
      <c r="F87" s="253">
        <f>SUM(F74:F86)</f>
        <v>0</v>
      </c>
      <c r="G87" s="253">
        <f>SUM(G74:G86)</f>
        <v>0</v>
      </c>
      <c r="H87" s="314">
        <f>SUM(H74:H86)</f>
        <v>0</v>
      </c>
      <c r="I87" s="335"/>
      <c r="J87" s="330"/>
    </row>
    <row r="88" spans="1:10" ht="12.75" hidden="1" customHeight="1" x14ac:dyDescent="0.2">
      <c r="A88" s="268"/>
      <c r="B88" s="269"/>
      <c r="C88" s="277"/>
      <c r="D88" s="258"/>
      <c r="E88" s="258"/>
      <c r="F88" s="258"/>
      <c r="G88" s="258"/>
      <c r="H88" s="315"/>
      <c r="I88" s="339"/>
      <c r="J88" s="325"/>
    </row>
    <row r="89" spans="1:10" ht="12.75" hidden="1" customHeight="1" x14ac:dyDescent="0.2">
      <c r="A89" s="272" t="s">
        <v>293</v>
      </c>
      <c r="B89" s="273"/>
      <c r="C89" s="277"/>
      <c r="D89" s="254">
        <f>D87+D72</f>
        <v>0</v>
      </c>
      <c r="E89" s="254">
        <f t="shared" ref="E89:F89" si="2">E87+E72</f>
        <v>0</v>
      </c>
      <c r="F89" s="254">
        <f t="shared" si="2"/>
        <v>0</v>
      </c>
      <c r="G89" s="254">
        <f>G87</f>
        <v>0</v>
      </c>
      <c r="H89" s="316">
        <f>H87</f>
        <v>0</v>
      </c>
      <c r="I89" s="336"/>
      <c r="J89" s="325"/>
    </row>
    <row r="90" spans="1:10" ht="12.75" hidden="1" customHeight="1" x14ac:dyDescent="0.2">
      <c r="A90" s="268"/>
      <c r="B90" s="269"/>
      <c r="C90" s="277"/>
      <c r="D90" s="259"/>
      <c r="E90" s="259"/>
      <c r="F90" s="259"/>
      <c r="G90" s="259"/>
      <c r="H90" s="317"/>
      <c r="I90" s="340"/>
      <c r="J90" s="325"/>
    </row>
    <row r="91" spans="1:10" x14ac:dyDescent="0.2">
      <c r="A91" s="295" t="s">
        <v>294</v>
      </c>
      <c r="B91" s="295"/>
      <c r="C91" s="346"/>
      <c r="D91" s="347"/>
      <c r="E91" s="347"/>
      <c r="F91" s="347"/>
      <c r="G91" s="347"/>
      <c r="H91" s="347"/>
      <c r="I91" s="337"/>
      <c r="J91" s="323" t="s">
        <v>294</v>
      </c>
    </row>
    <row r="92" spans="1:10" x14ac:dyDescent="0.2">
      <c r="A92" s="268"/>
      <c r="B92" s="269"/>
      <c r="C92" s="268"/>
      <c r="D92" s="280"/>
      <c r="E92" s="280"/>
      <c r="F92" s="280"/>
      <c r="G92" s="280"/>
      <c r="H92" s="290"/>
      <c r="I92" s="334"/>
      <c r="J92" s="325"/>
    </row>
    <row r="93" spans="1:10" ht="12.75" customHeight="1" x14ac:dyDescent="0.2">
      <c r="A93" s="264" t="s">
        <v>371</v>
      </c>
      <c r="B93" s="278"/>
      <c r="C93" s="270"/>
      <c r="D93" s="274"/>
      <c r="E93" s="274"/>
      <c r="F93" s="274"/>
      <c r="G93" s="274"/>
      <c r="H93" s="318"/>
      <c r="I93" s="337"/>
      <c r="J93" s="325"/>
    </row>
    <row r="94" spans="1:10" ht="15" x14ac:dyDescent="0.25">
      <c r="A94" s="265"/>
      <c r="B94" s="266" t="s">
        <v>268</v>
      </c>
      <c r="C94" s="266"/>
      <c r="D94" s="3">
        <v>0</v>
      </c>
      <c r="E94" s="3">
        <v>0</v>
      </c>
      <c r="F94" s="3">
        <v>0</v>
      </c>
      <c r="G94" s="280"/>
      <c r="H94" s="290"/>
      <c r="I94" s="334"/>
      <c r="J94" s="327" t="s">
        <v>295</v>
      </c>
    </row>
    <row r="95" spans="1:10" ht="15" x14ac:dyDescent="0.25">
      <c r="A95" s="266"/>
      <c r="B95" s="266" t="s">
        <v>279</v>
      </c>
      <c r="C95" s="268"/>
      <c r="D95" s="3">
        <v>0</v>
      </c>
      <c r="E95" s="3">
        <v>0</v>
      </c>
      <c r="F95" s="3">
        <v>0</v>
      </c>
      <c r="G95" s="280"/>
      <c r="H95" s="290"/>
      <c r="I95" s="334"/>
      <c r="J95" s="443" t="s">
        <v>521</v>
      </c>
    </row>
    <row r="96" spans="1:10" x14ac:dyDescent="0.2">
      <c r="A96" s="265"/>
      <c r="B96" s="266" t="s">
        <v>273</v>
      </c>
      <c r="C96" s="267"/>
      <c r="D96" s="293"/>
      <c r="E96" s="280"/>
      <c r="F96" s="280"/>
      <c r="G96" s="280"/>
      <c r="H96" s="290"/>
      <c r="I96" s="334"/>
      <c r="J96" s="327"/>
    </row>
    <row r="97" spans="1:10" ht="15" x14ac:dyDescent="0.25">
      <c r="A97" s="265"/>
      <c r="B97" s="266"/>
      <c r="C97" s="268" t="s">
        <v>369</v>
      </c>
      <c r="D97" s="409">
        <v>0</v>
      </c>
      <c r="E97" s="3">
        <v>0</v>
      </c>
      <c r="F97" s="3">
        <v>0</v>
      </c>
      <c r="G97" s="410"/>
      <c r="H97" s="290"/>
      <c r="I97" s="334"/>
      <c r="J97" s="325" t="s">
        <v>305</v>
      </c>
    </row>
    <row r="98" spans="1:10" x14ac:dyDescent="0.2">
      <c r="A98" s="268"/>
      <c r="B98" s="269"/>
      <c r="C98" s="268"/>
      <c r="D98" s="280"/>
      <c r="E98" s="280"/>
      <c r="F98" s="280"/>
      <c r="G98" s="280"/>
      <c r="H98" s="290"/>
      <c r="I98" s="334"/>
      <c r="J98" s="327"/>
    </row>
    <row r="99" spans="1:10" x14ac:dyDescent="0.2">
      <c r="A99" s="270" t="s">
        <v>370</v>
      </c>
      <c r="B99" s="271"/>
      <c r="C99" s="276"/>
      <c r="D99" s="285">
        <f>SUM(D94:D98)</f>
        <v>0</v>
      </c>
      <c r="E99" s="285">
        <f>SUM(E94:E98)</f>
        <v>0</v>
      </c>
      <c r="F99" s="285">
        <f>SUM(F94:F98)</f>
        <v>0</v>
      </c>
      <c r="G99" s="285">
        <f>SUM(G94:G98)</f>
        <v>0</v>
      </c>
      <c r="H99" s="307">
        <f>SUM(H94:H98)</f>
        <v>0</v>
      </c>
      <c r="I99" s="335"/>
      <c r="J99" s="328"/>
    </row>
    <row r="100" spans="1:10" x14ac:dyDescent="0.2">
      <c r="A100" s="268"/>
      <c r="B100" s="269"/>
      <c r="C100" s="268"/>
      <c r="D100" s="280"/>
      <c r="E100" s="280"/>
      <c r="F100" s="280"/>
      <c r="G100" s="280"/>
      <c r="H100" s="290"/>
      <c r="I100" s="334"/>
      <c r="J100" s="325"/>
    </row>
    <row r="101" spans="1:10" ht="12.75" customHeight="1" x14ac:dyDescent="0.2">
      <c r="A101" s="551" t="s">
        <v>398</v>
      </c>
      <c r="B101" s="552"/>
      <c r="C101" s="553"/>
      <c r="D101" s="274"/>
      <c r="E101" s="274"/>
      <c r="F101" s="274"/>
      <c r="G101" s="274"/>
      <c r="H101" s="318"/>
      <c r="I101" s="337"/>
      <c r="J101" s="444" t="s">
        <v>380</v>
      </c>
    </row>
    <row r="102" spans="1:10" ht="15" x14ac:dyDescent="0.25">
      <c r="A102" s="265"/>
      <c r="B102" s="266" t="s">
        <v>268</v>
      </c>
      <c r="C102" s="266"/>
      <c r="D102" s="3">
        <v>0</v>
      </c>
      <c r="E102" s="3">
        <v>0</v>
      </c>
      <c r="F102" s="3">
        <v>0</v>
      </c>
      <c r="G102" s="280"/>
      <c r="H102" s="290"/>
      <c r="I102" s="334"/>
      <c r="J102" s="327" t="s">
        <v>295</v>
      </c>
    </row>
    <row r="103" spans="1:10" ht="15" x14ac:dyDescent="0.25">
      <c r="A103" s="266"/>
      <c r="B103" s="266" t="s">
        <v>279</v>
      </c>
      <c r="C103" s="268"/>
      <c r="D103" s="3">
        <v>0</v>
      </c>
      <c r="E103" s="3">
        <v>0</v>
      </c>
      <c r="F103" s="3">
        <v>0</v>
      </c>
      <c r="G103" s="280"/>
      <c r="H103" s="290"/>
      <c r="I103" s="334"/>
      <c r="J103" s="443" t="s">
        <v>521</v>
      </c>
    </row>
    <row r="104" spans="1:10" x14ac:dyDescent="0.2">
      <c r="A104" s="265"/>
      <c r="B104" s="266" t="s">
        <v>273</v>
      </c>
      <c r="C104" s="267"/>
      <c r="D104" s="293"/>
      <c r="E104" s="280"/>
      <c r="F104" s="280"/>
      <c r="G104" s="280"/>
      <c r="H104" s="290"/>
      <c r="I104" s="334"/>
      <c r="J104" s="327"/>
    </row>
    <row r="105" spans="1:10" ht="15" x14ac:dyDescent="0.25">
      <c r="A105" s="265"/>
      <c r="B105" s="266"/>
      <c r="C105" s="268" t="s">
        <v>369</v>
      </c>
      <c r="D105" s="409">
        <v>0</v>
      </c>
      <c r="E105" s="3">
        <v>0</v>
      </c>
      <c r="F105" s="3">
        <v>0</v>
      </c>
      <c r="G105" s="410"/>
      <c r="H105" s="290"/>
      <c r="I105" s="334"/>
      <c r="J105" s="325" t="s">
        <v>305</v>
      </c>
    </row>
    <row r="106" spans="1:10" x14ac:dyDescent="0.2">
      <c r="A106" s="268"/>
      <c r="B106" s="269"/>
      <c r="C106" s="268"/>
      <c r="D106" s="280"/>
      <c r="E106" s="280"/>
      <c r="F106" s="280"/>
      <c r="G106" s="280"/>
      <c r="H106" s="290"/>
      <c r="I106" s="334"/>
      <c r="J106" s="327"/>
    </row>
    <row r="107" spans="1:10" x14ac:dyDescent="0.2">
      <c r="A107" s="270" t="str">
        <f>"Total "&amp;A101</f>
        <v>Total  Permanent Endowment Fund (select from drop down list)</v>
      </c>
      <c r="B107" s="271"/>
      <c r="C107" s="276"/>
      <c r="D107" s="285">
        <f>SUM(D102:D106)</f>
        <v>0</v>
      </c>
      <c r="E107" s="285">
        <f>SUM(E102:E106)</f>
        <v>0</v>
      </c>
      <c r="F107" s="285">
        <f>SUM(F102:F106)</f>
        <v>0</v>
      </c>
      <c r="G107" s="285">
        <f>SUM(G102:G106)</f>
        <v>0</v>
      </c>
      <c r="H107" s="307">
        <f>SUM(H102:H106)</f>
        <v>0</v>
      </c>
      <c r="I107" s="335"/>
      <c r="J107" s="328"/>
    </row>
    <row r="108" spans="1:10" x14ac:dyDescent="0.2">
      <c r="A108" s="268"/>
      <c r="B108" s="269"/>
      <c r="C108" s="268"/>
      <c r="D108" s="280"/>
      <c r="E108" s="280"/>
      <c r="F108" s="280"/>
      <c r="G108" s="280"/>
      <c r="H108" s="290"/>
      <c r="I108" s="334"/>
      <c r="J108" s="325"/>
    </row>
    <row r="109" spans="1:10" ht="12.75" customHeight="1" x14ac:dyDescent="0.2">
      <c r="A109" s="551" t="s">
        <v>399</v>
      </c>
      <c r="B109" s="552"/>
      <c r="C109" s="553"/>
      <c r="D109" s="274"/>
      <c r="E109" s="274"/>
      <c r="F109" s="274"/>
      <c r="G109" s="274"/>
      <c r="H109" s="318"/>
      <c r="I109" s="337"/>
      <c r="J109" s="444" t="s">
        <v>380</v>
      </c>
    </row>
    <row r="110" spans="1:10" ht="15" x14ac:dyDescent="0.25">
      <c r="A110" s="265"/>
      <c r="B110" s="266" t="s">
        <v>268</v>
      </c>
      <c r="C110" s="266"/>
      <c r="D110" s="3">
        <v>0</v>
      </c>
      <c r="E110" s="3">
        <v>0</v>
      </c>
      <c r="F110" s="3">
        <v>0</v>
      </c>
      <c r="G110" s="280"/>
      <c r="H110" s="290"/>
      <c r="I110" s="334"/>
      <c r="J110" s="327" t="s">
        <v>295</v>
      </c>
    </row>
    <row r="111" spans="1:10" ht="15" x14ac:dyDescent="0.25">
      <c r="A111" s="266"/>
      <c r="B111" s="266" t="s">
        <v>279</v>
      </c>
      <c r="C111" s="268"/>
      <c r="D111" s="3">
        <v>0</v>
      </c>
      <c r="E111" s="3">
        <v>0</v>
      </c>
      <c r="F111" s="3">
        <v>0</v>
      </c>
      <c r="G111" s="280"/>
      <c r="H111" s="290"/>
      <c r="I111" s="334"/>
      <c r="J111" s="443" t="s">
        <v>521</v>
      </c>
    </row>
    <row r="112" spans="1:10" x14ac:dyDescent="0.2">
      <c r="A112" s="265"/>
      <c r="B112" s="266" t="s">
        <v>273</v>
      </c>
      <c r="C112" s="267"/>
      <c r="D112" s="293"/>
      <c r="E112" s="280"/>
      <c r="F112" s="280"/>
      <c r="G112" s="280"/>
      <c r="H112" s="290"/>
      <c r="I112" s="334"/>
      <c r="J112" s="327"/>
    </row>
    <row r="113" spans="1:10" ht="15" x14ac:dyDescent="0.25">
      <c r="A113" s="265"/>
      <c r="B113" s="266"/>
      <c r="C113" s="268" t="s">
        <v>369</v>
      </c>
      <c r="D113" s="409">
        <v>0</v>
      </c>
      <c r="E113" s="3">
        <v>0</v>
      </c>
      <c r="F113" s="3">
        <v>0</v>
      </c>
      <c r="G113" s="410"/>
      <c r="H113" s="290"/>
      <c r="I113" s="334"/>
      <c r="J113" s="325" t="s">
        <v>305</v>
      </c>
    </row>
    <row r="114" spans="1:10" x14ac:dyDescent="0.2">
      <c r="A114" s="268"/>
      <c r="B114" s="269"/>
      <c r="C114" s="268"/>
      <c r="D114" s="280"/>
      <c r="E114" s="280"/>
      <c r="F114" s="280"/>
      <c r="G114" s="280"/>
      <c r="H114" s="290"/>
      <c r="I114" s="334"/>
      <c r="J114" s="327"/>
    </row>
    <row r="115" spans="1:10" x14ac:dyDescent="0.2">
      <c r="A115" s="270" t="str">
        <f>"Total "&amp;A109</f>
        <v>Total Other Funds (select from drop down list)</v>
      </c>
      <c r="B115" s="271"/>
      <c r="C115" s="276"/>
      <c r="D115" s="285">
        <f>SUM(D110:D114)</f>
        <v>0</v>
      </c>
      <c r="E115" s="285">
        <f>SUM(E110:E114)</f>
        <v>0</v>
      </c>
      <c r="F115" s="285">
        <f>SUM(F110:F114)</f>
        <v>0</v>
      </c>
      <c r="G115" s="285">
        <f>SUM(G110:G114)</f>
        <v>0</v>
      </c>
      <c r="H115" s="307">
        <f>SUM(H110:H114)</f>
        <v>0</v>
      </c>
      <c r="I115" s="335"/>
      <c r="J115" s="328"/>
    </row>
    <row r="116" spans="1:10" x14ac:dyDescent="0.2">
      <c r="A116" s="268"/>
      <c r="B116" s="269"/>
      <c r="C116" s="268"/>
      <c r="D116" s="280"/>
      <c r="E116" s="280"/>
      <c r="F116" s="280"/>
      <c r="G116" s="280"/>
      <c r="H116" s="290"/>
      <c r="I116" s="334"/>
      <c r="J116" s="325"/>
    </row>
    <row r="117" spans="1:10" x14ac:dyDescent="0.2">
      <c r="A117" s="268"/>
      <c r="B117" s="269"/>
      <c r="C117" s="268"/>
      <c r="D117" s="280"/>
      <c r="E117" s="280"/>
      <c r="F117" s="280"/>
      <c r="G117" s="280"/>
      <c r="H117" s="290"/>
      <c r="I117" s="334"/>
      <c r="J117" s="325"/>
    </row>
    <row r="118" spans="1:10" x14ac:dyDescent="0.2">
      <c r="A118" s="272" t="s">
        <v>296</v>
      </c>
      <c r="B118" s="273"/>
      <c r="C118" s="277"/>
      <c r="D118" s="286">
        <f>+D99+D107+D115</f>
        <v>0</v>
      </c>
      <c r="E118" s="286">
        <f t="shared" ref="E118:H118" si="3">+E99+E107+E115</f>
        <v>0</v>
      </c>
      <c r="F118" s="286">
        <f t="shared" si="3"/>
        <v>0</v>
      </c>
      <c r="G118" s="286">
        <f t="shared" si="3"/>
        <v>0</v>
      </c>
      <c r="H118" s="286">
        <f t="shared" si="3"/>
        <v>0</v>
      </c>
      <c r="I118" s="336"/>
      <c r="J118" s="325"/>
    </row>
    <row r="119" spans="1:10" x14ac:dyDescent="0.2">
      <c r="A119" s="272"/>
      <c r="B119" s="273"/>
      <c r="C119" s="277"/>
      <c r="D119" s="286"/>
      <c r="E119" s="286"/>
      <c r="F119" s="286"/>
      <c r="G119" s="280"/>
      <c r="H119" s="290"/>
      <c r="I119" s="336"/>
      <c r="J119" s="325"/>
    </row>
    <row r="120" spans="1:10" x14ac:dyDescent="0.2">
      <c r="A120" s="295" t="s">
        <v>297</v>
      </c>
      <c r="B120" s="295"/>
      <c r="C120" s="346"/>
      <c r="D120" s="347"/>
      <c r="E120" s="347"/>
      <c r="F120" s="347"/>
      <c r="G120" s="347"/>
      <c r="H120" s="347"/>
      <c r="I120" s="337"/>
      <c r="J120" s="323" t="s">
        <v>297</v>
      </c>
    </row>
    <row r="121" spans="1:10" x14ac:dyDescent="0.2">
      <c r="A121" s="270"/>
      <c r="B121" s="270"/>
      <c r="C121" s="268"/>
      <c r="D121" s="275"/>
      <c r="E121" s="275"/>
      <c r="F121" s="275"/>
      <c r="G121" s="275"/>
      <c r="H121" s="294"/>
      <c r="I121" s="338"/>
      <c r="J121" s="328"/>
    </row>
    <row r="122" spans="1:10" x14ac:dyDescent="0.2">
      <c r="A122" s="272" t="s">
        <v>297</v>
      </c>
      <c r="B122" s="273"/>
      <c r="C122" s="270"/>
      <c r="D122" s="286">
        <f>D20+D55+D89+D118</f>
        <v>18271754.530000001</v>
      </c>
      <c r="E122" s="286">
        <f>E20+E55+E89+E118</f>
        <v>20165523</v>
      </c>
      <c r="F122" s="286">
        <f>F20+F55+F89+F118</f>
        <v>20798624</v>
      </c>
      <c r="G122" s="286">
        <f>G20+G55+G89+G118</f>
        <v>0</v>
      </c>
      <c r="H122" s="308">
        <f>H20+H55+H89+H118</f>
        <v>0</v>
      </c>
      <c r="I122" s="336"/>
      <c r="J122" s="325"/>
    </row>
    <row r="123" spans="1:10" x14ac:dyDescent="0.2">
      <c r="A123" s="265"/>
      <c r="B123" s="277"/>
      <c r="C123" s="277"/>
      <c r="D123" s="292"/>
      <c r="E123" s="292"/>
      <c r="F123" s="292"/>
      <c r="G123" s="292"/>
      <c r="H123" s="319"/>
      <c r="I123" s="341"/>
      <c r="J123" s="326"/>
    </row>
    <row r="124" spans="1:10" x14ac:dyDescent="0.2">
      <c r="A124" s="268"/>
      <c r="B124" s="269"/>
      <c r="C124" s="277"/>
      <c r="D124" s="281"/>
      <c r="E124" s="281"/>
      <c r="F124" s="281"/>
      <c r="G124" s="281"/>
      <c r="H124" s="309"/>
      <c r="I124" s="332"/>
      <c r="J124" s="325"/>
    </row>
    <row r="125" spans="1:10" x14ac:dyDescent="0.2">
      <c r="A125" s="295" t="s">
        <v>298</v>
      </c>
      <c r="B125" s="295"/>
      <c r="C125" s="352"/>
      <c r="D125" s="347"/>
      <c r="E125" s="347"/>
      <c r="F125" s="347"/>
      <c r="G125" s="347"/>
      <c r="H125" s="347"/>
      <c r="I125" s="333"/>
      <c r="J125" s="323" t="s">
        <v>298</v>
      </c>
    </row>
    <row r="126" spans="1:10" ht="15" x14ac:dyDescent="0.25">
      <c r="A126" s="267"/>
      <c r="B126" s="266" t="s">
        <v>299</v>
      </c>
      <c r="C126" s="268"/>
      <c r="D126" s="348">
        <v>4891.6000000000004</v>
      </c>
      <c r="E126" s="420">
        <v>5378.7</v>
      </c>
      <c r="F126" s="420">
        <v>5378.7</v>
      </c>
      <c r="G126" s="348">
        <v>5435</v>
      </c>
      <c r="H126" s="348">
        <v>5435</v>
      </c>
      <c r="I126" s="342"/>
      <c r="J126" s="325" t="s">
        <v>269</v>
      </c>
    </row>
    <row r="127" spans="1:10" x14ac:dyDescent="0.2">
      <c r="A127" s="268"/>
      <c r="B127" s="269"/>
      <c r="C127" s="270"/>
      <c r="D127" s="291"/>
      <c r="E127" s="291"/>
      <c r="F127" s="291"/>
      <c r="G127" s="291"/>
      <c r="H127" s="320"/>
      <c r="I127" s="342"/>
      <c r="J127" s="325"/>
    </row>
    <row r="128" spans="1:10" ht="15" x14ac:dyDescent="0.25">
      <c r="A128" s="267"/>
      <c r="B128" s="266" t="s">
        <v>270</v>
      </c>
      <c r="C128" s="276"/>
      <c r="D128" s="3">
        <v>0</v>
      </c>
      <c r="E128" s="419">
        <v>0</v>
      </c>
      <c r="F128" s="419">
        <v>0</v>
      </c>
      <c r="G128" s="350"/>
      <c r="H128" s="350"/>
      <c r="I128" s="343"/>
      <c r="J128" s="326"/>
    </row>
    <row r="129" spans="1:10" ht="26.25" x14ac:dyDescent="0.25">
      <c r="A129" s="266"/>
      <c r="B129" s="276"/>
      <c r="C129" s="268" t="s">
        <v>401</v>
      </c>
      <c r="D129" s="260">
        <v>0</v>
      </c>
      <c r="E129" s="260">
        <v>0</v>
      </c>
      <c r="F129" s="260">
        <v>0</v>
      </c>
      <c r="G129" s="350"/>
      <c r="H129" s="350"/>
      <c r="I129" s="342"/>
      <c r="J129" s="446" t="s">
        <v>402</v>
      </c>
    </row>
    <row r="130" spans="1:10" ht="15" x14ac:dyDescent="0.25">
      <c r="A130" s="266"/>
      <c r="B130" s="276"/>
      <c r="C130" s="268" t="s">
        <v>400</v>
      </c>
      <c r="D130" s="260">
        <v>0</v>
      </c>
      <c r="E130" s="260">
        <v>0</v>
      </c>
      <c r="F130" s="260">
        <v>0</v>
      </c>
      <c r="G130" s="350"/>
      <c r="H130" s="350"/>
      <c r="I130" s="342"/>
      <c r="J130" s="325"/>
    </row>
    <row r="131" spans="1:10" ht="15" x14ac:dyDescent="0.25">
      <c r="A131" s="267"/>
      <c r="B131" s="266" t="s">
        <v>300</v>
      </c>
      <c r="C131" s="268"/>
      <c r="D131" s="3">
        <v>0</v>
      </c>
      <c r="E131" s="419">
        <v>0</v>
      </c>
      <c r="F131" s="419">
        <v>0</v>
      </c>
      <c r="G131" s="350"/>
      <c r="H131" s="350"/>
      <c r="I131" s="342"/>
      <c r="J131" s="325"/>
    </row>
    <row r="132" spans="1:10" x14ac:dyDescent="0.2">
      <c r="A132" s="267"/>
      <c r="B132" s="266"/>
      <c r="C132" s="268"/>
      <c r="D132" s="291"/>
      <c r="E132" s="291"/>
      <c r="F132" s="291"/>
      <c r="G132" s="291"/>
      <c r="H132" s="320"/>
      <c r="I132" s="342"/>
      <c r="J132" s="325"/>
    </row>
    <row r="133" spans="1:10" ht="15" x14ac:dyDescent="0.25">
      <c r="A133" s="267"/>
      <c r="B133" s="266" t="s">
        <v>272</v>
      </c>
      <c r="C133" s="268"/>
      <c r="D133" s="260">
        <v>0</v>
      </c>
      <c r="E133" s="260">
        <v>0</v>
      </c>
      <c r="F133" s="260">
        <v>0</v>
      </c>
      <c r="G133" s="349"/>
      <c r="H133" s="350"/>
      <c r="I133" s="342"/>
      <c r="J133" s="325"/>
    </row>
    <row r="134" spans="1:10" x14ac:dyDescent="0.2">
      <c r="A134" s="267"/>
      <c r="B134" s="266"/>
      <c r="C134" s="268"/>
      <c r="D134" s="291"/>
      <c r="E134" s="291"/>
      <c r="F134" s="421"/>
      <c r="G134" s="291"/>
      <c r="H134" s="320"/>
      <c r="I134" s="342"/>
      <c r="J134" s="325"/>
    </row>
    <row r="135" spans="1:10" ht="15" x14ac:dyDescent="0.25">
      <c r="A135" s="266"/>
      <c r="B135" s="266" t="s">
        <v>301</v>
      </c>
      <c r="C135" s="268"/>
      <c r="D135" s="261">
        <v>0</v>
      </c>
      <c r="E135" s="261">
        <v>0</v>
      </c>
      <c r="F135" s="261">
        <v>0</v>
      </c>
      <c r="G135" s="349"/>
      <c r="H135" s="350"/>
      <c r="I135" s="342"/>
      <c r="J135" s="325" t="s">
        <v>418</v>
      </c>
    </row>
    <row r="136" spans="1:10" x14ac:dyDescent="0.2">
      <c r="A136" s="267"/>
      <c r="B136" s="266"/>
      <c r="C136" s="276"/>
      <c r="D136" s="291"/>
      <c r="E136" s="291"/>
      <c r="F136" s="422"/>
      <c r="G136" s="291"/>
      <c r="H136" s="320"/>
      <c r="I136" s="342"/>
      <c r="J136" s="325"/>
    </row>
    <row r="137" spans="1:10" ht="15" customHeight="1" x14ac:dyDescent="0.25">
      <c r="A137" s="267"/>
      <c r="B137" s="266" t="s">
        <v>302</v>
      </c>
      <c r="C137" s="276"/>
      <c r="D137" s="348">
        <v>-302.60000000000002</v>
      </c>
      <c r="E137" s="420">
        <v>-644.4</v>
      </c>
      <c r="F137" s="420">
        <v>-394.4</v>
      </c>
      <c r="G137" s="349"/>
      <c r="H137" s="350"/>
      <c r="I137" s="344"/>
      <c r="J137" s="438" t="s">
        <v>522</v>
      </c>
    </row>
    <row r="138" spans="1:10" ht="12.75" customHeight="1" x14ac:dyDescent="0.2">
      <c r="A138" s="268"/>
      <c r="B138" s="269"/>
      <c r="C138" s="268"/>
      <c r="D138" s="281"/>
      <c r="E138" s="281"/>
      <c r="F138" s="281"/>
      <c r="G138" s="281"/>
      <c r="H138" s="309"/>
      <c r="I138" s="332"/>
      <c r="J138" s="325"/>
    </row>
    <row r="139" spans="1:10" x14ac:dyDescent="0.2">
      <c r="A139" s="296" t="s">
        <v>303</v>
      </c>
      <c r="B139" s="297"/>
      <c r="C139" s="353"/>
      <c r="D139" s="354">
        <f>SUM(D126:D138)</f>
        <v>4589</v>
      </c>
      <c r="E139" s="298">
        <f>SUM(E126:E138)</f>
        <v>4734.3</v>
      </c>
      <c r="F139" s="298">
        <f>SUM(F126:F138)</f>
        <v>4984.3</v>
      </c>
      <c r="G139" s="298">
        <f>SUM(G126:G138)</f>
        <v>5435</v>
      </c>
      <c r="H139" s="321">
        <f>SUM(H126:H138)</f>
        <v>5435</v>
      </c>
      <c r="I139" s="345"/>
      <c r="J139" s="323" t="s">
        <v>303</v>
      </c>
    </row>
    <row r="140" spans="1:10" x14ac:dyDescent="0.2">
      <c r="C140" s="257"/>
      <c r="I140" s="248"/>
    </row>
    <row r="141" spans="1:10" x14ac:dyDescent="0.2">
      <c r="C141" s="257"/>
    </row>
    <row r="149" spans="3:9" x14ac:dyDescent="0.2">
      <c r="C149" s="251" t="s">
        <v>396</v>
      </c>
      <c r="D149" s="262"/>
      <c r="E149" s="262"/>
      <c r="F149" s="262"/>
      <c r="G149" s="262"/>
    </row>
    <row r="150" spans="3:9" hidden="1" x14ac:dyDescent="0.2">
      <c r="C150" s="267" t="s">
        <v>397</v>
      </c>
      <c r="D150" s="262"/>
      <c r="E150" s="262"/>
      <c r="F150" s="262"/>
      <c r="G150" s="262"/>
      <c r="H150" s="263"/>
      <c r="I150" s="263"/>
    </row>
    <row r="151" spans="3:9" hidden="1" x14ac:dyDescent="0.2">
      <c r="C151" s="251" t="s">
        <v>376</v>
      </c>
    </row>
    <row r="152" spans="3:9" hidden="1" x14ac:dyDescent="0.2">
      <c r="C152" s="251" t="s">
        <v>377</v>
      </c>
    </row>
    <row r="153" spans="3:9" hidden="1" x14ac:dyDescent="0.2">
      <c r="C153" s="251" t="s">
        <v>379</v>
      </c>
    </row>
    <row r="154" spans="3:9" hidden="1" x14ac:dyDescent="0.2">
      <c r="C154" s="251" t="s">
        <v>374</v>
      </c>
    </row>
    <row r="155" spans="3:9" hidden="1" x14ac:dyDescent="0.2">
      <c r="C155" s="251" t="s">
        <v>375</v>
      </c>
    </row>
    <row r="156" spans="3:9" hidden="1" x14ac:dyDescent="0.2">
      <c r="C156" s="251" t="s">
        <v>378</v>
      </c>
    </row>
    <row r="157" spans="3:9" hidden="1" x14ac:dyDescent="0.2">
      <c r="C157" s="251" t="s">
        <v>372</v>
      </c>
    </row>
    <row r="158" spans="3:9" hidden="1" x14ac:dyDescent="0.2">
      <c r="C158" s="251" t="s">
        <v>373</v>
      </c>
    </row>
    <row r="159" spans="3:9" hidden="1" x14ac:dyDescent="0.2"/>
    <row r="160" spans="3:9" hidden="1" x14ac:dyDescent="0.2"/>
    <row r="161" spans="3:3" hidden="1" x14ac:dyDescent="0.2"/>
    <row r="162" spans="3:3" hidden="1" x14ac:dyDescent="0.2">
      <c r="C162" s="264" t="s">
        <v>398</v>
      </c>
    </row>
    <row r="163" spans="3:3" hidden="1" x14ac:dyDescent="0.2">
      <c r="C163" s="251" t="s">
        <v>381</v>
      </c>
    </row>
    <row r="164" spans="3:3" hidden="1" x14ac:dyDescent="0.2">
      <c r="C164" s="251" t="s">
        <v>382</v>
      </c>
    </row>
    <row r="165" spans="3:3" hidden="1" x14ac:dyDescent="0.2">
      <c r="C165" s="251" t="s">
        <v>383</v>
      </c>
    </row>
    <row r="166" spans="3:3" hidden="1" x14ac:dyDescent="0.2">
      <c r="C166" s="251" t="s">
        <v>384</v>
      </c>
    </row>
    <row r="167" spans="3:3" hidden="1" x14ac:dyDescent="0.2">
      <c r="C167" s="251" t="s">
        <v>385</v>
      </c>
    </row>
    <row r="168" spans="3:3" hidden="1" x14ac:dyDescent="0.2">
      <c r="C168" s="251" t="s">
        <v>386</v>
      </c>
    </row>
    <row r="169" spans="3:3" hidden="1" x14ac:dyDescent="0.2">
      <c r="C169" s="251" t="s">
        <v>387</v>
      </c>
    </row>
    <row r="170" spans="3:3" hidden="1" x14ac:dyDescent="0.2">
      <c r="C170" s="251" t="s">
        <v>388</v>
      </c>
    </row>
    <row r="171" spans="3:3" hidden="1" x14ac:dyDescent="0.2">
      <c r="C171" s="251" t="s">
        <v>389</v>
      </c>
    </row>
    <row r="172" spans="3:3" hidden="1" x14ac:dyDescent="0.2">
      <c r="C172" s="251" t="s">
        <v>390</v>
      </c>
    </row>
    <row r="173" spans="3:3" hidden="1" x14ac:dyDescent="0.2">
      <c r="C173" s="251" t="s">
        <v>391</v>
      </c>
    </row>
    <row r="174" spans="3:3" hidden="1" x14ac:dyDescent="0.2">
      <c r="C174" s="251" t="s">
        <v>392</v>
      </c>
    </row>
    <row r="175" spans="3:3" hidden="1" x14ac:dyDescent="0.2"/>
    <row r="176" spans="3:3" hidden="1" x14ac:dyDescent="0.2">
      <c r="C176" s="267" t="s">
        <v>399</v>
      </c>
    </row>
    <row r="177" spans="3:3" hidden="1" x14ac:dyDescent="0.2">
      <c r="C177" s="251" t="s">
        <v>395</v>
      </c>
    </row>
    <row r="178" spans="3:3" hidden="1" x14ac:dyDescent="0.2">
      <c r="C178" s="251" t="s">
        <v>393</v>
      </c>
    </row>
    <row r="179" spans="3:3" hidden="1" x14ac:dyDescent="0.2">
      <c r="C179" s="251" t="s">
        <v>394</v>
      </c>
    </row>
  </sheetData>
  <mergeCells count="5">
    <mergeCell ref="A1:C2"/>
    <mergeCell ref="J1:J2"/>
    <mergeCell ref="A48:C48"/>
    <mergeCell ref="A101:C101"/>
    <mergeCell ref="A109:C109"/>
  </mergeCells>
  <dataValidations count="3">
    <dataValidation type="list" allowBlank="1" showInputMessage="1" showErrorMessage="1" sqref="A48:C48" xr:uid="{00000000-0002-0000-0100-000000000000}">
      <formula1>$C$150:$C$158</formula1>
    </dataValidation>
    <dataValidation type="list" allowBlank="1" showInputMessage="1" showErrorMessage="1" sqref="A101" xr:uid="{00000000-0002-0000-0100-000001000000}">
      <formula1>$C$162:$C$174</formula1>
    </dataValidation>
    <dataValidation type="list" allowBlank="1" showInputMessage="1" showErrorMessage="1" sqref="A109" xr:uid="{00000000-0002-0000-0100-000002000000}">
      <formula1>$C$176:$C$179</formula1>
    </dataValidation>
  </dataValidations>
  <pageMargins left="0.2" right="0.2" top="1" bottom="0.5" header="0.5" footer="0.25"/>
  <pageSetup scale="39" orientation="portrait" r:id="rId1"/>
  <headerFooter alignWithMargins="0">
    <oddHeader>&amp;C&amp;"Times New Roman,Bold"TAMU (711)
Reconciliation of 2012-13 Base</oddHeader>
    <oddFooter>&amp;C&amp;"Times New Roman,Regular"&amp;10Page &amp;P of &amp;N</oddFooter>
  </headerFooter>
  <rowBreaks count="4" manualBreakCount="4">
    <brk id="21" max="6" man="1"/>
    <brk id="57" max="16383" man="1"/>
    <brk id="90" max="16383" man="1"/>
    <brk id="11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Z76"/>
  <sheetViews>
    <sheetView workbookViewId="0">
      <pane xSplit="17" ySplit="20" topLeftCell="R66" activePane="bottomRight" state="frozen"/>
      <selection activeCell="F31" sqref="F31"/>
      <selection pane="topRight" activeCell="F31" sqref="F31"/>
      <selection pane="bottomLeft" activeCell="F31" sqref="F31"/>
      <selection pane="bottomRight" activeCell="H3" sqref="H3"/>
    </sheetView>
  </sheetViews>
  <sheetFormatPr defaultRowHeight="15" x14ac:dyDescent="0.25"/>
  <cols>
    <col min="1" max="1" width="17.28515625" customWidth="1"/>
    <col min="2" max="2" width="6.140625" customWidth="1"/>
    <col min="3" max="4" width="1.7109375" customWidth="1"/>
    <col min="5" max="5" width="20.7109375" customWidth="1"/>
    <col min="6" max="6" width="1.7109375" customWidth="1"/>
    <col min="7" max="7" width="5.85546875" customWidth="1"/>
    <col min="8" max="8" width="5" customWidth="1"/>
    <col min="9" max="9" width="11.7109375" customWidth="1"/>
    <col min="10" max="10" width="1.7109375" customWidth="1"/>
    <col min="11" max="11" width="7.85546875" customWidth="1"/>
    <col min="12" max="12" width="5.140625" customWidth="1"/>
    <col min="13" max="13" width="11" customWidth="1"/>
    <col min="14" max="14" width="1.7109375" customWidth="1"/>
    <col min="15" max="15" width="14.85546875" customWidth="1"/>
    <col min="16" max="16" width="10.28515625" bestFit="1" customWidth="1"/>
    <col min="18" max="18" width="11.7109375" bestFit="1" customWidth="1"/>
  </cols>
  <sheetData>
    <row r="1" spans="1:26" x14ac:dyDescent="0.25">
      <c r="A1" s="96"/>
      <c r="B1" s="96"/>
      <c r="C1" s="96"/>
      <c r="D1" s="96"/>
      <c r="E1" s="96"/>
      <c r="F1" s="96"/>
      <c r="G1" s="96"/>
      <c r="H1" s="96"/>
      <c r="I1" s="96"/>
      <c r="J1" s="96"/>
      <c r="K1" s="96"/>
      <c r="L1" s="96"/>
      <c r="M1" s="96"/>
      <c r="N1" s="96"/>
      <c r="O1" s="96"/>
      <c r="P1" s="97"/>
      <c r="S1" s="636" t="s">
        <v>310</v>
      </c>
      <c r="T1" s="637"/>
      <c r="U1" s="637"/>
      <c r="V1" s="637"/>
      <c r="W1" s="637"/>
      <c r="X1" s="637"/>
      <c r="Y1" s="637"/>
      <c r="Z1" s="638"/>
    </row>
    <row r="2" spans="1:26" ht="15.75" x14ac:dyDescent="0.25">
      <c r="A2" s="554" t="s">
        <v>157</v>
      </c>
      <c r="B2" s="555"/>
      <c r="C2" s="555"/>
      <c r="D2" s="555"/>
      <c r="E2" s="555"/>
      <c r="F2" s="555"/>
      <c r="G2" s="555"/>
      <c r="H2" s="555"/>
      <c r="I2" s="555"/>
      <c r="J2" s="555"/>
      <c r="K2" s="555"/>
      <c r="L2" s="555"/>
      <c r="M2" s="555"/>
      <c r="N2" s="555"/>
      <c r="O2" s="555"/>
      <c r="P2" s="98"/>
      <c r="Q2" s="98"/>
      <c r="R2" s="98"/>
      <c r="S2" s="639"/>
      <c r="T2" s="640"/>
      <c r="U2" s="640"/>
      <c r="V2" s="640"/>
      <c r="W2" s="640"/>
      <c r="X2" s="640"/>
      <c r="Y2" s="640"/>
      <c r="Z2" s="641"/>
    </row>
    <row r="3" spans="1:26" x14ac:dyDescent="0.25">
      <c r="A3" s="556" t="s">
        <v>259</v>
      </c>
      <c r="B3" s="557"/>
      <c r="C3" s="557"/>
      <c r="D3" s="557"/>
      <c r="E3" s="557"/>
      <c r="F3" s="557"/>
      <c r="G3" s="557"/>
      <c r="H3" s="206">
        <f>TRUNC('INPUT SHEET FOR LAR'!D3-4,2)</f>
        <v>2019</v>
      </c>
      <c r="I3" s="558" t="s">
        <v>260</v>
      </c>
      <c r="J3" s="557"/>
      <c r="K3" s="557"/>
      <c r="L3" s="206">
        <f>H3</f>
        <v>2019</v>
      </c>
      <c r="M3" s="100"/>
      <c r="N3" s="99"/>
      <c r="O3" s="99"/>
      <c r="P3" s="98"/>
      <c r="Q3" s="98"/>
      <c r="R3" s="98"/>
      <c r="S3" s="639"/>
      <c r="T3" s="640"/>
      <c r="U3" s="640"/>
      <c r="V3" s="640"/>
      <c r="W3" s="640"/>
      <c r="X3" s="640"/>
      <c r="Y3" s="640"/>
      <c r="Z3" s="641"/>
    </row>
    <row r="4" spans="1:26" ht="15.75" thickBot="1" x14ac:dyDescent="0.3">
      <c r="A4" s="98"/>
      <c r="B4" s="98"/>
      <c r="C4" s="98"/>
      <c r="D4" s="98"/>
      <c r="E4" s="98"/>
      <c r="F4" s="98"/>
      <c r="G4" s="98"/>
      <c r="H4" s="101"/>
      <c r="I4" s="101"/>
      <c r="J4" s="98"/>
      <c r="K4" s="102"/>
      <c r="L4" s="98"/>
      <c r="M4" s="98"/>
      <c r="N4" s="102"/>
      <c r="O4" s="102"/>
      <c r="P4" s="98"/>
      <c r="Q4" s="98"/>
      <c r="R4" s="98"/>
      <c r="S4" s="639"/>
      <c r="T4" s="640"/>
      <c r="U4" s="640"/>
      <c r="V4" s="640"/>
      <c r="W4" s="640"/>
      <c r="X4" s="640"/>
      <c r="Y4" s="640"/>
      <c r="Z4" s="641"/>
    </row>
    <row r="5" spans="1:26" x14ac:dyDescent="0.25">
      <c r="A5" s="103" t="s">
        <v>158</v>
      </c>
      <c r="B5" s="96"/>
      <c r="C5" s="96"/>
      <c r="D5" s="96"/>
      <c r="E5" s="96"/>
      <c r="F5" s="96"/>
      <c r="G5" s="96"/>
      <c r="H5" s="98"/>
      <c r="I5" s="98"/>
      <c r="J5" s="104"/>
      <c r="K5" s="105" t="s">
        <v>159</v>
      </c>
      <c r="L5" s="96"/>
      <c r="M5" s="96"/>
      <c r="N5" s="106"/>
      <c r="O5" s="106"/>
      <c r="P5" s="104"/>
      <c r="Q5" s="98"/>
      <c r="R5" s="98"/>
      <c r="S5" s="639"/>
      <c r="T5" s="640"/>
      <c r="U5" s="640"/>
      <c r="V5" s="640"/>
      <c r="W5" s="640"/>
      <c r="X5" s="640"/>
      <c r="Y5" s="640"/>
      <c r="Z5" s="641"/>
    </row>
    <row r="6" spans="1:26" ht="15.75" thickBot="1" x14ac:dyDescent="0.3">
      <c r="A6" s="559" t="str">
        <f>'INPUT SHEET FOR LAR'!D6</f>
        <v>University Name</v>
      </c>
      <c r="B6" s="560"/>
      <c r="C6" s="560"/>
      <c r="D6" s="561"/>
      <c r="E6" s="561"/>
      <c r="F6" s="561"/>
      <c r="G6" s="561"/>
      <c r="H6" s="561"/>
      <c r="I6" s="561"/>
      <c r="J6" s="562"/>
      <c r="K6" s="559">
        <f>'INPUT SHEET FOR LAR'!D5</f>
        <v>711</v>
      </c>
      <c r="L6" s="560"/>
      <c r="M6" s="560"/>
      <c r="N6" s="563"/>
      <c r="O6" s="563"/>
      <c r="P6" s="564"/>
      <c r="Q6" s="98"/>
      <c r="R6" s="98"/>
      <c r="S6" s="642"/>
      <c r="T6" s="643"/>
      <c r="U6" s="643"/>
      <c r="V6" s="643"/>
      <c r="W6" s="643"/>
      <c r="X6" s="643"/>
      <c r="Y6" s="643"/>
      <c r="Z6" s="644"/>
    </row>
    <row r="7" spans="1:26" x14ac:dyDescent="0.25">
      <c r="A7" s="98"/>
      <c r="B7" s="98"/>
      <c r="C7" s="98"/>
      <c r="D7" s="98"/>
      <c r="E7" s="98"/>
      <c r="F7" s="98"/>
      <c r="G7" s="98"/>
      <c r="H7" s="98"/>
      <c r="I7" s="98"/>
      <c r="J7" s="98"/>
      <c r="K7" s="102"/>
      <c r="L7" s="98"/>
      <c r="M7" s="98"/>
      <c r="N7" s="102"/>
      <c r="O7" s="102"/>
      <c r="P7" s="98"/>
      <c r="Q7" s="98"/>
      <c r="R7" s="98"/>
      <c r="S7" s="358"/>
      <c r="T7" s="358"/>
      <c r="U7" s="358"/>
      <c r="V7" s="358"/>
      <c r="W7" s="358"/>
      <c r="X7" s="358"/>
      <c r="Y7" s="358"/>
      <c r="Z7" s="358"/>
    </row>
    <row r="8" spans="1:26" ht="16.5" x14ac:dyDescent="0.3">
      <c r="A8" s="107" t="s">
        <v>160</v>
      </c>
      <c r="B8" s="108"/>
      <c r="C8" s="108"/>
      <c r="D8" s="108"/>
      <c r="E8" s="108"/>
      <c r="F8" s="108"/>
      <c r="G8" s="108"/>
      <c r="H8" s="108"/>
      <c r="I8" s="108"/>
      <c r="J8" s="108"/>
      <c r="K8" s="109"/>
      <c r="L8" s="108"/>
      <c r="M8" s="108"/>
      <c r="N8" s="109"/>
      <c r="O8" s="109"/>
      <c r="P8" s="108"/>
      <c r="Q8" s="108"/>
      <c r="R8" s="108"/>
      <c r="S8" s="358"/>
      <c r="T8" s="358"/>
      <c r="U8" s="358"/>
      <c r="V8" s="358"/>
      <c r="W8" s="358"/>
      <c r="X8" s="358"/>
      <c r="Y8" s="358"/>
      <c r="Z8" s="358"/>
    </row>
    <row r="9" spans="1:26" ht="15.75" thickBot="1" x14ac:dyDescent="0.3">
      <c r="A9" s="207" t="s">
        <v>226</v>
      </c>
      <c r="B9" s="208"/>
      <c r="C9" s="208"/>
      <c r="D9" s="98"/>
      <c r="E9" s="98"/>
      <c r="F9" s="98"/>
      <c r="G9" s="98"/>
      <c r="H9" s="98"/>
      <c r="I9" s="98"/>
      <c r="J9" s="98"/>
      <c r="K9" s="102"/>
      <c r="L9" s="98"/>
      <c r="M9" s="98"/>
      <c r="N9" s="102"/>
      <c r="O9" s="102"/>
      <c r="P9" s="98"/>
      <c r="Q9" s="98"/>
      <c r="R9" s="98"/>
      <c r="S9" s="358"/>
      <c r="T9" s="358"/>
      <c r="U9" s="358"/>
      <c r="V9" s="358"/>
      <c r="W9" s="358"/>
      <c r="X9" s="358"/>
      <c r="Y9" s="358"/>
      <c r="Z9" s="358"/>
    </row>
    <row r="10" spans="1:26" ht="16.5" thickTop="1" thickBot="1" x14ac:dyDescent="0.3">
      <c r="A10" s="565" t="s">
        <v>161</v>
      </c>
      <c r="B10" s="566"/>
      <c r="C10" s="567"/>
      <c r="D10" s="110"/>
      <c r="E10" s="111" t="s">
        <v>162</v>
      </c>
      <c r="F10" s="112"/>
      <c r="G10" s="565" t="s">
        <v>163</v>
      </c>
      <c r="H10" s="568"/>
      <c r="I10" s="569"/>
      <c r="J10" s="112"/>
      <c r="K10" s="570" t="s">
        <v>164</v>
      </c>
      <c r="L10" s="571"/>
      <c r="M10" s="572"/>
      <c r="N10" s="113"/>
      <c r="O10" s="114" t="s">
        <v>165</v>
      </c>
      <c r="P10" s="115"/>
      <c r="Q10" s="98"/>
      <c r="R10" s="98"/>
      <c r="S10" s="358"/>
      <c r="T10" s="358"/>
      <c r="U10" s="358"/>
      <c r="V10" s="358"/>
      <c r="W10" s="358"/>
      <c r="X10" s="358"/>
      <c r="Y10" s="358"/>
      <c r="Z10" s="358"/>
    </row>
    <row r="11" spans="1:26" ht="15.75" customHeight="1" thickTop="1" x14ac:dyDescent="0.25">
      <c r="A11" s="573" t="s">
        <v>166</v>
      </c>
      <c r="B11" s="574"/>
      <c r="C11" s="575"/>
      <c r="D11" s="98"/>
      <c r="E11" s="582" t="s">
        <v>167</v>
      </c>
      <c r="F11" s="116" t="s">
        <v>168</v>
      </c>
      <c r="G11" s="585" t="s">
        <v>169</v>
      </c>
      <c r="H11" s="586"/>
      <c r="I11" s="587"/>
      <c r="J11" s="116" t="s">
        <v>170</v>
      </c>
      <c r="K11" s="593" t="s">
        <v>171</v>
      </c>
      <c r="L11" s="594"/>
      <c r="M11" s="595"/>
      <c r="N11" s="117"/>
      <c r="O11" s="593" t="s">
        <v>172</v>
      </c>
      <c r="P11" s="604"/>
      <c r="Q11" s="98"/>
      <c r="R11" s="98"/>
      <c r="S11" s="358"/>
      <c r="T11" s="358"/>
      <c r="U11" s="358"/>
      <c r="V11" s="358"/>
      <c r="W11" s="358"/>
      <c r="X11" s="358"/>
      <c r="Y11" s="358"/>
      <c r="Z11" s="358"/>
    </row>
    <row r="12" spans="1:26" x14ac:dyDescent="0.25">
      <c r="A12" s="576"/>
      <c r="B12" s="577"/>
      <c r="C12" s="578"/>
      <c r="D12" s="98"/>
      <c r="E12" s="583"/>
      <c r="F12" s="116"/>
      <c r="G12" s="588"/>
      <c r="H12" s="577"/>
      <c r="I12" s="589"/>
      <c r="J12" s="116"/>
      <c r="K12" s="596"/>
      <c r="L12" s="597"/>
      <c r="M12" s="598"/>
      <c r="N12" s="117"/>
      <c r="O12" s="605"/>
      <c r="P12" s="606"/>
      <c r="Q12" s="98"/>
      <c r="R12" s="98"/>
      <c r="S12" s="358"/>
      <c r="T12" s="358"/>
      <c r="U12" s="358"/>
      <c r="V12" s="358"/>
      <c r="W12" s="358"/>
      <c r="X12" s="358"/>
      <c r="Y12" s="358"/>
      <c r="Z12" s="358"/>
    </row>
    <row r="13" spans="1:26" ht="15.75" thickBot="1" x14ac:dyDescent="0.3">
      <c r="A13" s="579"/>
      <c r="B13" s="580"/>
      <c r="C13" s="581"/>
      <c r="D13" s="98"/>
      <c r="E13" s="584"/>
      <c r="F13" s="118"/>
      <c r="G13" s="590"/>
      <c r="H13" s="591"/>
      <c r="I13" s="592"/>
      <c r="J13" s="118"/>
      <c r="K13" s="599"/>
      <c r="L13" s="600"/>
      <c r="M13" s="601"/>
      <c r="N13" s="117"/>
      <c r="O13" s="607"/>
      <c r="P13" s="608"/>
      <c r="Q13" s="98"/>
      <c r="R13" s="98"/>
      <c r="S13" s="358"/>
      <c r="T13" s="358"/>
      <c r="U13" s="358"/>
      <c r="V13" s="358"/>
      <c r="W13" s="358"/>
      <c r="X13" s="358"/>
      <c r="Y13" s="358"/>
      <c r="Z13" s="358"/>
    </row>
    <row r="14" spans="1:26" ht="15.75" thickTop="1" x14ac:dyDescent="0.25">
      <c r="A14" s="119"/>
      <c r="B14" s="98"/>
      <c r="C14" s="120"/>
      <c r="D14" s="98"/>
      <c r="E14" s="98"/>
      <c r="F14" s="98"/>
      <c r="G14" s="98"/>
      <c r="H14" s="98"/>
      <c r="I14" s="98"/>
      <c r="J14" s="98"/>
      <c r="K14" s="121"/>
      <c r="L14" s="120"/>
      <c r="M14" s="122"/>
      <c r="N14" s="102"/>
      <c r="O14" s="102"/>
      <c r="P14" s="98"/>
      <c r="Q14" s="98"/>
      <c r="R14" s="98"/>
      <c r="S14" s="358"/>
      <c r="T14" s="358"/>
      <c r="U14" s="358"/>
      <c r="V14" s="358"/>
      <c r="W14" s="358"/>
      <c r="X14" s="358"/>
      <c r="Y14" s="358"/>
      <c r="Z14" s="358"/>
    </row>
    <row r="15" spans="1:26" ht="23.25" x14ac:dyDescent="0.25">
      <c r="A15" s="209" t="s">
        <v>227</v>
      </c>
      <c r="B15" s="210"/>
      <c r="C15" s="211"/>
      <c r="D15" s="98"/>
      <c r="E15" s="212">
        <v>15466607</v>
      </c>
      <c r="F15" s="124"/>
      <c r="G15" s="609">
        <v>3840178</v>
      </c>
      <c r="H15" s="610"/>
      <c r="I15" s="611"/>
      <c r="J15" s="124"/>
      <c r="K15" s="612">
        <f>IF(E15="","",E15-G15)</f>
        <v>11626429</v>
      </c>
      <c r="L15" s="613"/>
      <c r="M15" s="613"/>
      <c r="N15" s="102"/>
      <c r="O15" s="102"/>
      <c r="P15" s="98"/>
      <c r="Q15" s="98"/>
      <c r="R15" s="98"/>
      <c r="S15" s="358"/>
      <c r="T15" s="358"/>
      <c r="U15" s="358"/>
      <c r="V15" s="358"/>
      <c r="W15" s="358"/>
      <c r="X15" s="358"/>
      <c r="Y15" s="358"/>
      <c r="Z15" s="358"/>
    </row>
    <row r="16" spans="1:26" ht="23.25" x14ac:dyDescent="0.25">
      <c r="A16" s="209" t="s">
        <v>228</v>
      </c>
      <c r="B16" s="210"/>
      <c r="C16" s="211"/>
      <c r="D16" s="98"/>
      <c r="E16" s="213"/>
      <c r="F16" s="124"/>
      <c r="G16" s="609"/>
      <c r="H16" s="610"/>
      <c r="I16" s="611"/>
      <c r="J16" s="124"/>
      <c r="K16" s="612" t="str">
        <f>IF(E16="","",E16-G16)</f>
        <v/>
      </c>
      <c r="L16" s="613"/>
      <c r="M16" s="613"/>
      <c r="N16" s="126"/>
      <c r="O16" s="126"/>
      <c r="P16" s="98"/>
      <c r="Q16" s="98"/>
      <c r="R16" s="98"/>
      <c r="S16" s="358"/>
      <c r="T16" s="358"/>
      <c r="U16" s="358"/>
      <c r="V16" s="358"/>
      <c r="W16" s="358"/>
      <c r="X16" s="358"/>
      <c r="Y16" s="358"/>
      <c r="Z16" s="358"/>
    </row>
    <row r="17" spans="1:26" ht="23.25" x14ac:dyDescent="0.25">
      <c r="A17" s="209" t="s">
        <v>229</v>
      </c>
      <c r="B17" s="210"/>
      <c r="C17" s="211"/>
      <c r="D17" s="98"/>
      <c r="E17" s="214"/>
      <c r="F17" s="124"/>
      <c r="G17" s="609"/>
      <c r="H17" s="610"/>
      <c r="I17" s="611"/>
      <c r="J17" s="124"/>
      <c r="K17" s="612" t="str">
        <f>IF(E17="","",E17-G17)</f>
        <v/>
      </c>
      <c r="L17" s="613"/>
      <c r="M17" s="613"/>
      <c r="N17" s="127"/>
      <c r="O17" s="127"/>
      <c r="P17" s="98"/>
      <c r="Q17" s="98"/>
      <c r="R17" s="98"/>
      <c r="S17" s="358"/>
      <c r="T17" s="358"/>
      <c r="U17" s="358"/>
      <c r="V17" s="358"/>
      <c r="W17" s="358"/>
      <c r="X17" s="358"/>
      <c r="Y17" s="358"/>
      <c r="Z17" s="358"/>
    </row>
    <row r="18" spans="1:26" ht="23.25" x14ac:dyDescent="0.25">
      <c r="A18" s="209" t="s">
        <v>230</v>
      </c>
      <c r="B18" s="210"/>
      <c r="C18" s="211"/>
      <c r="D18" s="98"/>
      <c r="E18" s="214"/>
      <c r="F18" s="124"/>
      <c r="G18" s="609"/>
      <c r="H18" s="610"/>
      <c r="I18" s="611"/>
      <c r="J18" s="124"/>
      <c r="K18" s="612" t="str">
        <f>IF(E18="","",E18-G18)</f>
        <v/>
      </c>
      <c r="L18" s="613"/>
      <c r="M18" s="613"/>
      <c r="N18" s="127"/>
      <c r="O18" s="127"/>
      <c r="P18" s="98"/>
      <c r="Q18" s="98"/>
      <c r="R18" s="98"/>
      <c r="S18" s="358"/>
      <c r="T18" s="358"/>
      <c r="U18" s="358"/>
      <c r="V18" s="358"/>
      <c r="W18" s="358"/>
      <c r="X18" s="358"/>
      <c r="Y18" s="358"/>
      <c r="Z18" s="358"/>
    </row>
    <row r="19" spans="1:26" ht="23.25" x14ac:dyDescent="0.25">
      <c r="A19" s="209" t="s">
        <v>231</v>
      </c>
      <c r="B19" s="210"/>
      <c r="C19" s="211"/>
      <c r="D19" s="98"/>
      <c r="E19" s="215"/>
      <c r="F19" s="124"/>
      <c r="G19" s="614"/>
      <c r="H19" s="615"/>
      <c r="I19" s="616"/>
      <c r="J19" s="124"/>
      <c r="K19" s="612" t="str">
        <f>IF(E19="","",E19-G19)</f>
        <v/>
      </c>
      <c r="L19" s="613"/>
      <c r="M19" s="613"/>
      <c r="N19" s="127"/>
      <c r="O19" s="128"/>
      <c r="P19" s="98"/>
      <c r="Q19" s="98"/>
      <c r="R19" s="98"/>
      <c r="S19" s="358"/>
      <c r="T19" s="358"/>
      <c r="U19" s="358"/>
      <c r="V19" s="358"/>
      <c r="W19" s="358"/>
      <c r="X19" s="358"/>
      <c r="Y19" s="358"/>
      <c r="Z19" s="358"/>
    </row>
    <row r="20" spans="1:26" x14ac:dyDescent="0.25">
      <c r="A20" s="129"/>
      <c r="B20" s="98"/>
      <c r="C20" s="98"/>
      <c r="D20" s="98"/>
      <c r="E20" s="124"/>
      <c r="F20" s="124"/>
      <c r="G20" s="130"/>
      <c r="H20" s="124"/>
      <c r="I20" s="124"/>
      <c r="J20" s="124"/>
      <c r="K20" s="617">
        <f>SUM(K15:M19)</f>
        <v>11626429</v>
      </c>
      <c r="L20" s="618"/>
      <c r="M20" s="618"/>
      <c r="N20" s="126"/>
      <c r="O20" s="602">
        <f>K20/K61</f>
        <v>0.80780019045149587</v>
      </c>
      <c r="P20" s="216"/>
      <c r="Q20" s="98"/>
      <c r="R20" s="217"/>
      <c r="S20" s="358"/>
      <c r="T20" s="358"/>
      <c r="U20" s="358"/>
      <c r="V20" s="358"/>
      <c r="W20" s="358"/>
      <c r="X20" s="358"/>
      <c r="Y20" s="358"/>
      <c r="Z20" s="358"/>
    </row>
    <row r="21" spans="1:26" x14ac:dyDescent="0.25">
      <c r="A21" s="129"/>
      <c r="B21" s="98"/>
      <c r="C21" s="98"/>
      <c r="D21" s="98"/>
      <c r="E21" s="124"/>
      <c r="F21" s="124"/>
      <c r="G21" s="131"/>
      <c r="H21" s="124"/>
      <c r="I21" s="132" t="s">
        <v>173</v>
      </c>
      <c r="J21" s="124"/>
      <c r="K21" s="617"/>
      <c r="L21" s="618"/>
      <c r="M21" s="618"/>
      <c r="N21" s="133"/>
      <c r="O21" s="603"/>
      <c r="P21" s="218">
        <f>O20</f>
        <v>0.80780019045149587</v>
      </c>
      <c r="Q21" s="98"/>
      <c r="R21" s="219"/>
      <c r="S21" s="358"/>
      <c r="T21" s="358"/>
      <c r="U21" s="358"/>
      <c r="V21" s="358"/>
      <c r="W21" s="358"/>
      <c r="X21" s="358"/>
      <c r="Y21" s="358"/>
      <c r="Z21" s="358"/>
    </row>
    <row r="22" spans="1:26" ht="15.75" thickBot="1" x14ac:dyDescent="0.3">
      <c r="A22" s="119"/>
      <c r="B22" s="98"/>
      <c r="C22" s="120"/>
      <c r="D22" s="98"/>
      <c r="E22" s="98"/>
      <c r="F22" s="98"/>
      <c r="G22" s="98"/>
      <c r="H22" s="98"/>
      <c r="I22" s="98"/>
      <c r="J22" s="98"/>
      <c r="K22" s="127"/>
      <c r="L22" s="98"/>
      <c r="M22" s="98"/>
      <c r="N22" s="127"/>
      <c r="O22" s="127"/>
      <c r="P22" s="98"/>
      <c r="Q22" s="98"/>
      <c r="R22" s="98"/>
      <c r="S22" s="358"/>
      <c r="T22" s="358"/>
      <c r="U22" s="358"/>
      <c r="V22" s="358"/>
      <c r="W22" s="358"/>
      <c r="X22" s="358"/>
      <c r="Y22" s="358"/>
      <c r="Z22" s="358"/>
    </row>
    <row r="23" spans="1:26" ht="16.5" thickTop="1" thickBot="1" x14ac:dyDescent="0.3">
      <c r="A23" s="565" t="s">
        <v>161</v>
      </c>
      <c r="B23" s="621"/>
      <c r="C23" s="622"/>
      <c r="D23" s="110"/>
      <c r="E23" s="111" t="s">
        <v>162</v>
      </c>
      <c r="F23" s="112"/>
      <c r="G23" s="565" t="s">
        <v>163</v>
      </c>
      <c r="H23" s="568"/>
      <c r="I23" s="569"/>
      <c r="J23" s="112"/>
      <c r="K23" s="570" t="s">
        <v>164</v>
      </c>
      <c r="L23" s="571"/>
      <c r="M23" s="572"/>
      <c r="N23" s="113"/>
      <c r="O23" s="114" t="s">
        <v>165</v>
      </c>
      <c r="P23" s="115"/>
      <c r="Q23" s="98"/>
      <c r="R23" s="98"/>
      <c r="S23" s="358"/>
      <c r="T23" s="358"/>
      <c r="U23" s="358"/>
      <c r="V23" s="358"/>
      <c r="W23" s="358"/>
      <c r="X23" s="358"/>
      <c r="Y23" s="358"/>
      <c r="Z23" s="358"/>
    </row>
    <row r="24" spans="1:26" ht="15.75" customHeight="1" thickTop="1" x14ac:dyDescent="0.25">
      <c r="A24" s="573" t="s">
        <v>174</v>
      </c>
      <c r="B24" s="574"/>
      <c r="C24" s="575"/>
      <c r="D24" s="98"/>
      <c r="E24" s="582" t="s">
        <v>167</v>
      </c>
      <c r="F24" s="116" t="s">
        <v>168</v>
      </c>
      <c r="G24" s="573" t="s">
        <v>175</v>
      </c>
      <c r="H24" s="594"/>
      <c r="I24" s="595"/>
      <c r="J24" s="116" t="s">
        <v>170</v>
      </c>
      <c r="K24" s="593" t="s">
        <v>171</v>
      </c>
      <c r="L24" s="594"/>
      <c r="M24" s="595"/>
      <c r="N24" s="117"/>
      <c r="O24" s="593" t="s">
        <v>172</v>
      </c>
      <c r="P24" s="604"/>
      <c r="Q24" s="98"/>
      <c r="R24" s="98"/>
      <c r="S24" s="358"/>
      <c r="T24" s="358"/>
      <c r="U24" s="358"/>
      <c r="V24" s="358"/>
      <c r="W24" s="358"/>
      <c r="X24" s="358"/>
      <c r="Y24" s="358"/>
      <c r="Z24" s="358"/>
    </row>
    <row r="25" spans="1:26" x14ac:dyDescent="0.25">
      <c r="A25" s="576"/>
      <c r="B25" s="577"/>
      <c r="C25" s="578"/>
      <c r="D25" s="98"/>
      <c r="E25" s="583"/>
      <c r="F25" s="116"/>
      <c r="G25" s="596"/>
      <c r="H25" s="597"/>
      <c r="I25" s="598"/>
      <c r="J25" s="116"/>
      <c r="K25" s="596"/>
      <c r="L25" s="597"/>
      <c r="M25" s="598"/>
      <c r="N25" s="117"/>
      <c r="O25" s="605"/>
      <c r="P25" s="606"/>
      <c r="Q25" s="98"/>
      <c r="R25" s="98"/>
      <c r="S25" s="358"/>
      <c r="T25" s="358"/>
      <c r="U25" s="358"/>
      <c r="V25" s="358"/>
      <c r="W25" s="358"/>
      <c r="X25" s="358"/>
      <c r="Y25" s="358"/>
      <c r="Z25" s="358"/>
    </row>
    <row r="26" spans="1:26" ht="15.75" thickBot="1" x14ac:dyDescent="0.3">
      <c r="A26" s="579"/>
      <c r="B26" s="580"/>
      <c r="C26" s="581"/>
      <c r="D26" s="98"/>
      <c r="E26" s="584"/>
      <c r="F26" s="118"/>
      <c r="G26" s="599"/>
      <c r="H26" s="600"/>
      <c r="I26" s="601"/>
      <c r="J26" s="118"/>
      <c r="K26" s="599"/>
      <c r="L26" s="600"/>
      <c r="M26" s="601"/>
      <c r="N26" s="117"/>
      <c r="O26" s="607"/>
      <c r="P26" s="608"/>
      <c r="Q26" s="98"/>
      <c r="R26" s="98"/>
      <c r="S26" s="358"/>
      <c r="T26" s="358"/>
      <c r="U26" s="358"/>
      <c r="V26" s="358"/>
      <c r="W26" s="358"/>
      <c r="X26" s="358"/>
      <c r="Y26" s="358"/>
      <c r="Z26" s="358"/>
    </row>
    <row r="27" spans="1:26" ht="24" thickTop="1" x14ac:dyDescent="0.25">
      <c r="A27" s="220" t="s">
        <v>232</v>
      </c>
      <c r="B27" s="221">
        <v>242</v>
      </c>
      <c r="C27" s="123" t="s">
        <v>176</v>
      </c>
      <c r="D27" s="98"/>
      <c r="E27" s="214">
        <v>3314242.5</v>
      </c>
      <c r="F27" s="124"/>
      <c r="G27" s="619">
        <v>547967.54</v>
      </c>
      <c r="H27" s="620"/>
      <c r="I27" s="620"/>
      <c r="J27" s="124"/>
      <c r="K27" s="623">
        <f>IF(E27="","",E27-G27)</f>
        <v>2766274.96</v>
      </c>
      <c r="L27" s="624"/>
      <c r="M27" s="624"/>
      <c r="N27" s="102"/>
      <c r="O27" s="102"/>
      <c r="P27" s="98"/>
      <c r="Q27" s="98"/>
      <c r="R27" s="98"/>
      <c r="S27" s="358"/>
      <c r="T27" s="358"/>
      <c r="U27" s="358"/>
      <c r="V27" s="358"/>
      <c r="W27" s="358"/>
      <c r="X27" s="358"/>
      <c r="Y27" s="358"/>
      <c r="Z27" s="358"/>
    </row>
    <row r="28" spans="1:26" ht="23.25" x14ac:dyDescent="0.25">
      <c r="A28" s="209" t="s">
        <v>233</v>
      </c>
      <c r="B28" s="222"/>
      <c r="C28" s="123" t="s">
        <v>176</v>
      </c>
      <c r="D28" s="98"/>
      <c r="E28" s="214"/>
      <c r="F28" s="124"/>
      <c r="G28" s="619"/>
      <c r="H28" s="620"/>
      <c r="I28" s="620"/>
      <c r="J28" s="124"/>
      <c r="K28" s="612" t="str">
        <f>IF(E28="","",E28-G28)</f>
        <v/>
      </c>
      <c r="L28" s="613"/>
      <c r="M28" s="613"/>
      <c r="N28" s="127"/>
      <c r="O28" s="127"/>
      <c r="P28" s="98"/>
      <c r="Q28" s="98"/>
      <c r="R28" s="98"/>
      <c r="S28" s="358"/>
      <c r="T28" s="358"/>
      <c r="U28" s="358"/>
      <c r="V28" s="358"/>
      <c r="W28" s="358"/>
      <c r="X28" s="358"/>
      <c r="Y28" s="358"/>
      <c r="Z28" s="358"/>
    </row>
    <row r="29" spans="1:26" ht="23.25" x14ac:dyDescent="0.25">
      <c r="A29" s="209" t="s">
        <v>234</v>
      </c>
      <c r="B29" s="222"/>
      <c r="C29" s="123" t="s">
        <v>176</v>
      </c>
      <c r="D29" s="98"/>
      <c r="E29" s="214"/>
      <c r="F29" s="124"/>
      <c r="G29" s="619"/>
      <c r="H29" s="620"/>
      <c r="I29" s="620"/>
      <c r="J29" s="124"/>
      <c r="K29" s="612" t="str">
        <f>IF(E29="","",E29-G29)</f>
        <v/>
      </c>
      <c r="L29" s="613"/>
      <c r="M29" s="613"/>
      <c r="N29" s="127"/>
      <c r="O29" s="127"/>
      <c r="P29" s="98"/>
      <c r="Q29" s="98"/>
      <c r="R29" s="98"/>
      <c r="S29" s="358"/>
      <c r="T29" s="358"/>
      <c r="U29" s="358"/>
      <c r="V29" s="358"/>
      <c r="W29" s="358"/>
      <c r="X29" s="358"/>
      <c r="Y29" s="358"/>
      <c r="Z29" s="358"/>
    </row>
    <row r="30" spans="1:26" ht="23.25" x14ac:dyDescent="0.25">
      <c r="A30" s="209" t="s">
        <v>235</v>
      </c>
      <c r="B30" s="222"/>
      <c r="C30" s="123" t="s">
        <v>176</v>
      </c>
      <c r="D30" s="98"/>
      <c r="E30" s="214"/>
      <c r="F30" s="124"/>
      <c r="G30" s="619"/>
      <c r="H30" s="620"/>
      <c r="I30" s="620"/>
      <c r="J30" s="124"/>
      <c r="K30" s="612" t="str">
        <f>IF(E30="","",E30-G30)</f>
        <v/>
      </c>
      <c r="L30" s="613"/>
      <c r="M30" s="613"/>
      <c r="N30" s="127"/>
      <c r="O30" s="127"/>
      <c r="P30" s="98"/>
      <c r="Q30" s="98"/>
      <c r="R30" s="98"/>
      <c r="S30" s="358"/>
      <c r="T30" s="358"/>
      <c r="U30" s="358"/>
      <c r="V30" s="358"/>
      <c r="W30" s="358"/>
      <c r="X30" s="358"/>
      <c r="Y30" s="358"/>
      <c r="Z30" s="358"/>
    </row>
    <row r="31" spans="1:26" ht="23.25" x14ac:dyDescent="0.25">
      <c r="A31" s="209" t="s">
        <v>236</v>
      </c>
      <c r="B31" s="222"/>
      <c r="C31" s="123" t="s">
        <v>176</v>
      </c>
      <c r="D31" s="98"/>
      <c r="E31" s="214"/>
      <c r="F31" s="124"/>
      <c r="G31" s="619"/>
      <c r="H31" s="620"/>
      <c r="I31" s="620"/>
      <c r="J31" s="124"/>
      <c r="K31" s="612" t="str">
        <f>IF(E31="","",E31-G31)</f>
        <v/>
      </c>
      <c r="L31" s="613"/>
      <c r="M31" s="613"/>
      <c r="N31" s="98"/>
      <c r="O31" s="98"/>
      <c r="P31" s="98"/>
      <c r="Q31" s="98"/>
      <c r="R31" s="98"/>
      <c r="S31" s="358"/>
      <c r="T31" s="358"/>
      <c r="U31" s="358"/>
      <c r="V31" s="358"/>
      <c r="W31" s="358"/>
      <c r="X31" s="358"/>
      <c r="Y31" s="358"/>
      <c r="Z31" s="358"/>
    </row>
    <row r="32" spans="1:26" ht="34.5" x14ac:dyDescent="0.25">
      <c r="A32" s="209" t="s">
        <v>237</v>
      </c>
      <c r="B32" s="222"/>
      <c r="C32" s="123" t="s">
        <v>176</v>
      </c>
      <c r="D32" s="98"/>
      <c r="E32" s="223"/>
      <c r="F32" s="124"/>
      <c r="G32" s="625">
        <v>0</v>
      </c>
      <c r="H32" s="626"/>
      <c r="I32" s="627"/>
      <c r="J32" s="124"/>
      <c r="K32" s="612">
        <f>E32-G32</f>
        <v>0</v>
      </c>
      <c r="L32" s="613"/>
      <c r="M32" s="613"/>
      <c r="N32" s="126"/>
      <c r="O32" s="224"/>
      <c r="P32" s="98"/>
      <c r="Q32" s="98"/>
      <c r="R32" s="98"/>
      <c r="S32" s="358"/>
      <c r="T32" s="358"/>
      <c r="U32" s="358"/>
      <c r="V32" s="358"/>
      <c r="W32" s="358"/>
      <c r="X32" s="358"/>
      <c r="Y32" s="358"/>
      <c r="Z32" s="358"/>
    </row>
    <row r="33" spans="1:26" x14ac:dyDescent="0.25">
      <c r="A33" s="129"/>
      <c r="B33" s="98"/>
      <c r="C33" s="98"/>
      <c r="D33" s="98"/>
      <c r="E33" s="124"/>
      <c r="F33" s="124"/>
      <c r="G33" s="130"/>
      <c r="H33" s="124"/>
      <c r="I33" s="124"/>
      <c r="J33" s="124"/>
      <c r="K33" s="630">
        <f>SUM(K27:M31)</f>
        <v>2766274.96</v>
      </c>
      <c r="L33" s="631"/>
      <c r="M33" s="632"/>
      <c r="N33" s="126"/>
      <c r="O33" s="602">
        <f>K33/K61</f>
        <v>0.19219980954850402</v>
      </c>
      <c r="P33" s="216"/>
      <c r="Q33" s="98"/>
      <c r="R33" s="98"/>
      <c r="S33" s="358"/>
      <c r="T33" s="358"/>
      <c r="U33" s="358"/>
      <c r="V33" s="358"/>
      <c r="W33" s="358"/>
      <c r="X33" s="358"/>
      <c r="Y33" s="358"/>
      <c r="Z33" s="358"/>
    </row>
    <row r="34" spans="1:26" x14ac:dyDescent="0.25">
      <c r="A34" s="129"/>
      <c r="B34" s="98"/>
      <c r="C34" s="98"/>
      <c r="D34" s="98"/>
      <c r="E34" s="124"/>
      <c r="F34" s="124"/>
      <c r="G34" s="131"/>
      <c r="H34" s="124"/>
      <c r="I34" s="132" t="s">
        <v>238</v>
      </c>
      <c r="J34" s="124"/>
      <c r="K34" s="633">
        <f>SUM(K27:M32)</f>
        <v>2766274.96</v>
      </c>
      <c r="L34" s="634"/>
      <c r="M34" s="635"/>
      <c r="N34" s="133"/>
      <c r="O34" s="603"/>
      <c r="P34" s="218">
        <f>O33</f>
        <v>0.19219980954850402</v>
      </c>
      <c r="Q34" s="98"/>
      <c r="R34" s="127"/>
      <c r="S34" s="358"/>
      <c r="T34" s="358"/>
      <c r="U34" s="358"/>
      <c r="V34" s="358"/>
      <c r="W34" s="358"/>
      <c r="X34" s="358"/>
      <c r="Y34" s="358"/>
      <c r="Z34" s="358"/>
    </row>
    <row r="35" spans="1:26" x14ac:dyDescent="0.25">
      <c r="A35" s="134"/>
      <c r="B35" s="120"/>
      <c r="C35" s="120"/>
      <c r="D35" s="120"/>
      <c r="E35" s="120"/>
      <c r="F35" s="120"/>
      <c r="G35" s="135"/>
      <c r="H35" s="120"/>
      <c r="I35" s="120"/>
      <c r="J35" s="120"/>
      <c r="K35" s="136"/>
      <c r="L35" s="120"/>
      <c r="M35" s="120"/>
      <c r="N35" s="137"/>
      <c r="O35" s="137"/>
      <c r="P35" s="138"/>
      <c r="Q35" s="98"/>
      <c r="R35" s="98"/>
      <c r="S35" s="358"/>
      <c r="T35" s="358"/>
      <c r="U35" s="358"/>
      <c r="V35" s="358"/>
      <c r="W35" s="358"/>
      <c r="X35" s="358"/>
      <c r="Y35" s="358"/>
      <c r="Z35" s="358"/>
    </row>
    <row r="36" spans="1:26" x14ac:dyDescent="0.25">
      <c r="A36" s="129"/>
      <c r="B36" s="98"/>
      <c r="C36" s="98"/>
      <c r="D36" s="98"/>
      <c r="E36" s="98"/>
      <c r="F36" s="98"/>
      <c r="G36" s="139"/>
      <c r="H36" s="98"/>
      <c r="I36" s="98"/>
      <c r="J36" s="98"/>
      <c r="K36" s="98"/>
      <c r="L36" s="98"/>
      <c r="M36" s="98"/>
      <c r="N36" s="133"/>
      <c r="O36" s="133"/>
      <c r="P36" s="120"/>
      <c r="Q36" s="98"/>
      <c r="R36" s="98"/>
      <c r="S36" s="358"/>
      <c r="T36" s="358"/>
      <c r="U36" s="358"/>
      <c r="V36" s="358"/>
      <c r="W36" s="358"/>
      <c r="X36" s="358"/>
      <c r="Y36" s="358"/>
      <c r="Z36" s="358"/>
    </row>
    <row r="37" spans="1:26" ht="15.75" thickBot="1" x14ac:dyDescent="0.3">
      <c r="A37" s="140"/>
      <c r="B37" s="141"/>
      <c r="C37" s="141"/>
      <c r="D37" s="141"/>
      <c r="E37" s="141"/>
      <c r="F37" s="141"/>
      <c r="G37" s="142"/>
      <c r="H37" s="141"/>
      <c r="I37" s="141"/>
      <c r="J37" s="141"/>
      <c r="K37" s="141"/>
      <c r="L37" s="141"/>
      <c r="M37" s="141"/>
      <c r="N37" s="143"/>
      <c r="O37" s="143"/>
      <c r="P37" s="208"/>
      <c r="Q37" s="98"/>
      <c r="R37" s="98"/>
      <c r="S37" s="358"/>
      <c r="T37" s="358"/>
      <c r="U37" s="358"/>
      <c r="V37" s="358"/>
      <c r="W37" s="358"/>
      <c r="X37" s="358"/>
      <c r="Y37" s="358"/>
      <c r="Z37" s="358"/>
    </row>
    <row r="38" spans="1:26" ht="16.5" thickTop="1" thickBot="1" x14ac:dyDescent="0.3">
      <c r="A38" s="565" t="s">
        <v>161</v>
      </c>
      <c r="B38" s="621"/>
      <c r="C38" s="622"/>
      <c r="D38" s="110"/>
      <c r="E38" s="111" t="s">
        <v>162</v>
      </c>
      <c r="F38" s="112"/>
      <c r="G38" s="565" t="s">
        <v>163</v>
      </c>
      <c r="H38" s="568"/>
      <c r="I38" s="569"/>
      <c r="J38" s="112"/>
      <c r="K38" s="570" t="s">
        <v>164</v>
      </c>
      <c r="L38" s="571"/>
      <c r="M38" s="572"/>
      <c r="N38" s="113"/>
      <c r="O38" s="114" t="s">
        <v>165</v>
      </c>
      <c r="P38" s="115"/>
      <c r="Q38" s="98"/>
      <c r="R38" s="98"/>
      <c r="S38" s="358"/>
      <c r="T38" s="358"/>
      <c r="U38" s="358"/>
      <c r="V38" s="358"/>
      <c r="W38" s="358"/>
      <c r="X38" s="358"/>
      <c r="Y38" s="358"/>
      <c r="Z38" s="358"/>
    </row>
    <row r="39" spans="1:26" ht="15.75" customHeight="1" thickTop="1" x14ac:dyDescent="0.25">
      <c r="A39" s="573" t="s">
        <v>177</v>
      </c>
      <c r="B39" s="574"/>
      <c r="C39" s="575"/>
      <c r="D39" s="98"/>
      <c r="E39" s="582" t="s">
        <v>167</v>
      </c>
      <c r="F39" s="116" t="s">
        <v>168</v>
      </c>
      <c r="G39" s="573" t="s">
        <v>175</v>
      </c>
      <c r="H39" s="594"/>
      <c r="I39" s="595"/>
      <c r="J39" s="116" t="s">
        <v>170</v>
      </c>
      <c r="K39" s="593" t="s">
        <v>171</v>
      </c>
      <c r="L39" s="594"/>
      <c r="M39" s="595"/>
      <c r="N39" s="117"/>
      <c r="O39" s="593" t="s">
        <v>172</v>
      </c>
      <c r="P39" s="604"/>
      <c r="Q39" s="98"/>
      <c r="R39" s="98"/>
      <c r="S39" s="358"/>
      <c r="T39" s="358"/>
      <c r="U39" s="358"/>
      <c r="V39" s="358"/>
      <c r="W39" s="358"/>
      <c r="X39" s="358"/>
      <c r="Y39" s="358"/>
      <c r="Z39" s="358"/>
    </row>
    <row r="40" spans="1:26" x14ac:dyDescent="0.25">
      <c r="A40" s="576"/>
      <c r="B40" s="577"/>
      <c r="C40" s="578"/>
      <c r="D40" s="98"/>
      <c r="E40" s="583"/>
      <c r="F40" s="116"/>
      <c r="G40" s="596"/>
      <c r="H40" s="597"/>
      <c r="I40" s="598"/>
      <c r="J40" s="116"/>
      <c r="K40" s="596"/>
      <c r="L40" s="597"/>
      <c r="M40" s="598"/>
      <c r="N40" s="117"/>
      <c r="O40" s="605"/>
      <c r="P40" s="606"/>
      <c r="Q40" s="98"/>
      <c r="R40" s="98"/>
      <c r="S40" s="358"/>
      <c r="T40" s="358"/>
      <c r="U40" s="358"/>
      <c r="V40" s="358"/>
      <c r="W40" s="358"/>
      <c r="X40" s="358"/>
      <c r="Y40" s="358"/>
      <c r="Z40" s="358"/>
    </row>
    <row r="41" spans="1:26" ht="15.75" thickBot="1" x14ac:dyDescent="0.3">
      <c r="A41" s="579"/>
      <c r="B41" s="580"/>
      <c r="C41" s="581"/>
      <c r="D41" s="98"/>
      <c r="E41" s="584"/>
      <c r="F41" s="118"/>
      <c r="G41" s="599"/>
      <c r="H41" s="600"/>
      <c r="I41" s="601"/>
      <c r="J41" s="118"/>
      <c r="K41" s="599"/>
      <c r="L41" s="600"/>
      <c r="M41" s="601"/>
      <c r="N41" s="117"/>
      <c r="O41" s="607"/>
      <c r="P41" s="608"/>
      <c r="Q41" s="98"/>
      <c r="R41" s="98"/>
      <c r="S41" s="358"/>
      <c r="T41" s="358"/>
      <c r="U41" s="358"/>
      <c r="V41" s="358"/>
      <c r="W41" s="358"/>
      <c r="X41" s="358"/>
      <c r="Y41" s="358"/>
      <c r="Z41" s="358"/>
    </row>
    <row r="42" spans="1:26" ht="24" thickTop="1" x14ac:dyDescent="0.25">
      <c r="A42" s="225" t="s">
        <v>239</v>
      </c>
      <c r="B42" s="226"/>
      <c r="C42" s="123" t="s">
        <v>176</v>
      </c>
      <c r="D42" s="98"/>
      <c r="E42" s="214"/>
      <c r="F42" s="124"/>
      <c r="G42" s="628"/>
      <c r="H42" s="629"/>
      <c r="I42" s="629"/>
      <c r="J42" s="124"/>
      <c r="K42" s="623" t="str">
        <f>IF(E42="","",E42-G42)</f>
        <v/>
      </c>
      <c r="L42" s="624"/>
      <c r="M42" s="624"/>
      <c r="N42" s="102"/>
      <c r="O42" s="102"/>
      <c r="P42" s="98"/>
      <c r="Q42" s="98"/>
      <c r="R42" s="98"/>
      <c r="S42" s="358"/>
      <c r="T42" s="358"/>
      <c r="U42" s="358"/>
      <c r="V42" s="358"/>
      <c r="W42" s="358"/>
      <c r="X42" s="358"/>
      <c r="Y42" s="358"/>
      <c r="Z42" s="358"/>
    </row>
    <row r="43" spans="1:26" ht="23.25" x14ac:dyDescent="0.25">
      <c r="A43" s="209" t="s">
        <v>240</v>
      </c>
      <c r="B43" s="222"/>
      <c r="C43" s="211" t="s">
        <v>176</v>
      </c>
      <c r="D43" s="98"/>
      <c r="E43" s="215"/>
      <c r="F43" s="124"/>
      <c r="G43" s="619"/>
      <c r="H43" s="620"/>
      <c r="I43" s="620"/>
      <c r="J43" s="124"/>
      <c r="K43" s="612" t="str">
        <f>IF(E43="","",E43-G43)</f>
        <v/>
      </c>
      <c r="L43" s="613"/>
      <c r="M43" s="613"/>
      <c r="N43" s="127"/>
      <c r="O43" s="127"/>
      <c r="P43" s="98"/>
      <c r="Q43" s="98"/>
      <c r="R43" s="98"/>
      <c r="S43" s="358"/>
      <c r="T43" s="358"/>
      <c r="U43" s="358"/>
      <c r="V43" s="358"/>
      <c r="W43" s="358"/>
      <c r="X43" s="358"/>
      <c r="Y43" s="358"/>
      <c r="Z43" s="358"/>
    </row>
    <row r="44" spans="1:26" x14ac:dyDescent="0.25">
      <c r="A44" s="129"/>
      <c r="B44" s="129"/>
      <c r="C44" s="129"/>
      <c r="D44" s="98"/>
      <c r="E44" s="124"/>
      <c r="F44" s="124"/>
      <c r="G44" s="130"/>
      <c r="H44" s="124"/>
      <c r="I44" s="124"/>
      <c r="J44" s="124"/>
      <c r="K44" s="617">
        <f>SUM(K42:M43)</f>
        <v>0</v>
      </c>
      <c r="L44" s="618"/>
      <c r="M44" s="618"/>
      <c r="N44" s="126"/>
      <c r="O44" s="602">
        <f>K44/K61</f>
        <v>0</v>
      </c>
      <c r="P44" s="602">
        <f>O44</f>
        <v>0</v>
      </c>
      <c r="Q44" s="98"/>
      <c r="R44" s="98"/>
      <c r="S44" s="358"/>
      <c r="T44" s="358"/>
      <c r="U44" s="358"/>
      <c r="V44" s="358"/>
      <c r="W44" s="358"/>
      <c r="X44" s="358"/>
      <c r="Y44" s="358"/>
      <c r="Z44" s="358"/>
    </row>
    <row r="45" spans="1:26" x14ac:dyDescent="0.25">
      <c r="A45" s="129"/>
      <c r="B45" s="98"/>
      <c r="C45" s="98"/>
      <c r="D45" s="98"/>
      <c r="E45" s="124"/>
      <c r="F45" s="124"/>
      <c r="G45" s="131"/>
      <c r="H45" s="124"/>
      <c r="I45" s="132" t="s">
        <v>241</v>
      </c>
      <c r="J45" s="124"/>
      <c r="K45" s="618"/>
      <c r="L45" s="618"/>
      <c r="M45" s="618"/>
      <c r="N45" s="133"/>
      <c r="O45" s="603"/>
      <c r="P45" s="603"/>
      <c r="Q45" s="98"/>
      <c r="R45" s="127"/>
      <c r="S45" s="358"/>
      <c r="T45" s="358"/>
      <c r="U45" s="358"/>
      <c r="V45" s="358"/>
      <c r="W45" s="358"/>
      <c r="X45" s="358"/>
      <c r="Y45" s="358"/>
      <c r="Z45" s="358"/>
    </row>
    <row r="46" spans="1:26" ht="15.75" thickBot="1" x14ac:dyDescent="0.3">
      <c r="A46" s="129"/>
      <c r="B46" s="98"/>
      <c r="C46" s="98"/>
      <c r="D46" s="98"/>
      <c r="E46" s="98"/>
      <c r="F46" s="98"/>
      <c r="G46" s="139"/>
      <c r="H46" s="98"/>
      <c r="I46" s="98"/>
      <c r="J46" s="98"/>
      <c r="K46" s="98"/>
      <c r="L46" s="98"/>
      <c r="M46" s="98"/>
      <c r="N46" s="102"/>
      <c r="O46" s="102"/>
      <c r="P46" s="98"/>
      <c r="Q46" s="98"/>
      <c r="R46" s="98"/>
      <c r="S46" s="358"/>
      <c r="T46" s="358"/>
      <c r="U46" s="358"/>
      <c r="V46" s="358"/>
      <c r="W46" s="358"/>
      <c r="X46" s="358"/>
      <c r="Y46" s="358"/>
      <c r="Z46" s="358"/>
    </row>
    <row r="47" spans="1:26" ht="16.5" thickTop="1" thickBot="1" x14ac:dyDescent="0.3">
      <c r="A47" s="565" t="s">
        <v>161</v>
      </c>
      <c r="B47" s="621"/>
      <c r="C47" s="622"/>
      <c r="D47" s="110"/>
      <c r="E47" s="111" t="s">
        <v>162</v>
      </c>
      <c r="F47" s="112"/>
      <c r="G47" s="565" t="s">
        <v>163</v>
      </c>
      <c r="H47" s="568"/>
      <c r="I47" s="569"/>
      <c r="J47" s="112"/>
      <c r="K47" s="570" t="s">
        <v>164</v>
      </c>
      <c r="L47" s="571"/>
      <c r="M47" s="572"/>
      <c r="N47" s="113"/>
      <c r="O47" s="114" t="s">
        <v>165</v>
      </c>
      <c r="P47" s="115"/>
      <c r="Q47" s="98"/>
      <c r="R47" s="98"/>
      <c r="S47" s="358"/>
      <c r="T47" s="358"/>
      <c r="U47" s="358"/>
      <c r="V47" s="358"/>
      <c r="W47" s="358"/>
      <c r="X47" s="358"/>
      <c r="Y47" s="358"/>
      <c r="Z47" s="358"/>
    </row>
    <row r="48" spans="1:26" ht="15.75" customHeight="1" thickTop="1" x14ac:dyDescent="0.25">
      <c r="A48" s="573" t="s">
        <v>179</v>
      </c>
      <c r="B48" s="574"/>
      <c r="C48" s="575"/>
      <c r="D48" s="98"/>
      <c r="E48" s="582" t="s">
        <v>167</v>
      </c>
      <c r="F48" s="116" t="s">
        <v>168</v>
      </c>
      <c r="G48" s="573" t="s">
        <v>175</v>
      </c>
      <c r="H48" s="594"/>
      <c r="I48" s="595"/>
      <c r="J48" s="116" t="s">
        <v>170</v>
      </c>
      <c r="K48" s="593" t="s">
        <v>171</v>
      </c>
      <c r="L48" s="594"/>
      <c r="M48" s="595"/>
      <c r="N48" s="117"/>
      <c r="O48" s="593" t="s">
        <v>172</v>
      </c>
      <c r="P48" s="604"/>
      <c r="Q48" s="98"/>
      <c r="R48" s="98"/>
      <c r="S48" s="358"/>
      <c r="T48" s="358"/>
      <c r="U48" s="358"/>
      <c r="V48" s="358"/>
      <c r="W48" s="358"/>
      <c r="X48" s="358"/>
      <c r="Y48" s="358"/>
      <c r="Z48" s="358"/>
    </row>
    <row r="49" spans="1:26" x14ac:dyDescent="0.25">
      <c r="A49" s="576"/>
      <c r="B49" s="577"/>
      <c r="C49" s="578"/>
      <c r="D49" s="98"/>
      <c r="E49" s="583"/>
      <c r="F49" s="116"/>
      <c r="G49" s="596"/>
      <c r="H49" s="597"/>
      <c r="I49" s="598"/>
      <c r="J49" s="116"/>
      <c r="K49" s="596"/>
      <c r="L49" s="597"/>
      <c r="M49" s="598"/>
      <c r="N49" s="117"/>
      <c r="O49" s="605"/>
      <c r="P49" s="606"/>
      <c r="Q49" s="98"/>
      <c r="R49" s="98"/>
      <c r="S49" s="358"/>
      <c r="T49" s="358"/>
      <c r="U49" s="358"/>
      <c r="V49" s="358"/>
      <c r="W49" s="358"/>
      <c r="X49" s="358"/>
      <c r="Y49" s="358"/>
      <c r="Z49" s="358"/>
    </row>
    <row r="50" spans="1:26" ht="15.75" thickBot="1" x14ac:dyDescent="0.3">
      <c r="A50" s="579"/>
      <c r="B50" s="580"/>
      <c r="C50" s="581"/>
      <c r="D50" s="98"/>
      <c r="E50" s="584"/>
      <c r="F50" s="118"/>
      <c r="G50" s="599"/>
      <c r="H50" s="600"/>
      <c r="I50" s="601"/>
      <c r="J50" s="118"/>
      <c r="K50" s="599"/>
      <c r="L50" s="600"/>
      <c r="M50" s="601"/>
      <c r="N50" s="117"/>
      <c r="O50" s="607"/>
      <c r="P50" s="608"/>
      <c r="Q50" s="98"/>
      <c r="R50" s="98"/>
      <c r="S50" s="358"/>
      <c r="T50" s="358"/>
      <c r="U50" s="358"/>
      <c r="V50" s="358"/>
      <c r="W50" s="358"/>
      <c r="X50" s="358"/>
      <c r="Y50" s="358"/>
      <c r="Z50" s="358"/>
    </row>
    <row r="51" spans="1:26" ht="24" thickTop="1" x14ac:dyDescent="0.25">
      <c r="A51" s="225" t="s">
        <v>242</v>
      </c>
      <c r="B51" s="226"/>
      <c r="C51" s="125" t="s">
        <v>176</v>
      </c>
      <c r="D51" s="144"/>
      <c r="E51" s="214"/>
      <c r="F51" s="124"/>
      <c r="G51" s="628"/>
      <c r="H51" s="629"/>
      <c r="I51" s="629"/>
      <c r="J51" s="124"/>
      <c r="K51" s="623" t="str">
        <f>IF(E51="","",E51-G51)</f>
        <v/>
      </c>
      <c r="L51" s="624"/>
      <c r="M51" s="624"/>
      <c r="N51" s="102"/>
      <c r="O51" s="102"/>
      <c r="P51" s="98"/>
      <c r="Q51" s="98"/>
      <c r="R51" s="98"/>
      <c r="S51" s="358"/>
      <c r="T51" s="358"/>
      <c r="U51" s="358"/>
      <c r="V51" s="358"/>
      <c r="W51" s="358"/>
      <c r="X51" s="358"/>
      <c r="Y51" s="358"/>
      <c r="Z51" s="358"/>
    </row>
    <row r="52" spans="1:26" ht="23.25" x14ac:dyDescent="0.25">
      <c r="A52" s="225" t="s">
        <v>243</v>
      </c>
      <c r="B52" s="226"/>
      <c r="C52" s="125" t="s">
        <v>176</v>
      </c>
      <c r="D52" s="144"/>
      <c r="E52" s="214"/>
      <c r="F52" s="124"/>
      <c r="G52" s="619"/>
      <c r="H52" s="620"/>
      <c r="I52" s="620"/>
      <c r="J52" s="124"/>
      <c r="K52" s="612" t="str">
        <f>IF(E52="","",E52-G52)</f>
        <v/>
      </c>
      <c r="L52" s="613"/>
      <c r="M52" s="613"/>
      <c r="N52" s="127"/>
      <c r="O52" s="127"/>
      <c r="P52" s="98"/>
      <c r="Q52" s="98"/>
      <c r="R52" s="98"/>
      <c r="S52" s="358"/>
      <c r="T52" s="358"/>
      <c r="U52" s="358"/>
      <c r="V52" s="358"/>
      <c r="W52" s="358"/>
      <c r="X52" s="358"/>
      <c r="Y52" s="358"/>
      <c r="Z52" s="358"/>
    </row>
    <row r="53" spans="1:26" ht="23.25" x14ac:dyDescent="0.25">
      <c r="A53" s="225" t="s">
        <v>244</v>
      </c>
      <c r="B53" s="226"/>
      <c r="C53" s="125" t="s">
        <v>176</v>
      </c>
      <c r="D53" s="144"/>
      <c r="E53" s="214"/>
      <c r="F53" s="124"/>
      <c r="G53" s="619"/>
      <c r="H53" s="620"/>
      <c r="I53" s="620"/>
      <c r="J53" s="124"/>
      <c r="K53" s="612" t="str">
        <f>IF(E53="","",E53-G53)</f>
        <v/>
      </c>
      <c r="L53" s="613"/>
      <c r="M53" s="613"/>
      <c r="N53" s="127"/>
      <c r="O53" s="127"/>
      <c r="P53" s="98"/>
      <c r="Q53" s="98"/>
      <c r="R53" s="98"/>
      <c r="S53" s="358"/>
      <c r="T53" s="358"/>
      <c r="U53" s="358"/>
      <c r="V53" s="358"/>
      <c r="W53" s="358"/>
      <c r="X53" s="358"/>
      <c r="Y53" s="358"/>
      <c r="Z53" s="358"/>
    </row>
    <row r="54" spans="1:26" ht="23.25" x14ac:dyDescent="0.25">
      <c r="A54" s="225" t="s">
        <v>245</v>
      </c>
      <c r="B54" s="226"/>
      <c r="C54" s="125" t="s">
        <v>176</v>
      </c>
      <c r="D54" s="98"/>
      <c r="E54" s="214"/>
      <c r="F54" s="124"/>
      <c r="G54" s="619"/>
      <c r="H54" s="620"/>
      <c r="I54" s="620"/>
      <c r="J54" s="124"/>
      <c r="K54" s="612" t="str">
        <f>IF(E54="","",E54-G54)</f>
        <v/>
      </c>
      <c r="L54" s="613"/>
      <c r="M54" s="613"/>
      <c r="N54" s="98"/>
      <c r="O54" s="98"/>
      <c r="P54" s="98"/>
      <c r="Q54" s="98"/>
      <c r="R54" s="98"/>
      <c r="S54" s="358"/>
      <c r="T54" s="358"/>
      <c r="U54" s="358"/>
      <c r="V54" s="358"/>
      <c r="W54" s="358"/>
      <c r="X54" s="358"/>
      <c r="Y54" s="358"/>
      <c r="Z54" s="358"/>
    </row>
    <row r="55" spans="1:26" ht="34.5" x14ac:dyDescent="0.25">
      <c r="A55" s="225" t="s">
        <v>246</v>
      </c>
      <c r="B55" s="226"/>
      <c r="C55" s="125" t="s">
        <v>176</v>
      </c>
      <c r="D55" s="144"/>
      <c r="E55" s="227"/>
      <c r="F55" s="124"/>
      <c r="G55" s="662">
        <f>[1]LocalFdsAdj!D26</f>
        <v>0</v>
      </c>
      <c r="H55" s="663"/>
      <c r="I55" s="663"/>
      <c r="J55" s="124"/>
      <c r="K55" s="612">
        <f>E55-G55</f>
        <v>0</v>
      </c>
      <c r="L55" s="613"/>
      <c r="M55" s="613"/>
      <c r="N55" s="127"/>
      <c r="O55" s="127"/>
      <c r="P55" s="98"/>
      <c r="Q55" s="98"/>
      <c r="R55" s="98"/>
      <c r="S55" s="358"/>
      <c r="T55" s="358"/>
      <c r="U55" s="358"/>
      <c r="V55" s="358"/>
      <c r="W55" s="358"/>
      <c r="X55" s="358"/>
      <c r="Y55" s="358"/>
      <c r="Z55" s="358"/>
    </row>
    <row r="56" spans="1:26" ht="23.25" x14ac:dyDescent="0.25">
      <c r="A56" s="209" t="s">
        <v>247</v>
      </c>
      <c r="B56" s="222"/>
      <c r="C56" s="211" t="s">
        <v>176</v>
      </c>
      <c r="D56" s="144"/>
      <c r="E56" s="215"/>
      <c r="F56" s="124"/>
      <c r="G56" s="619"/>
      <c r="H56" s="620"/>
      <c r="I56" s="620"/>
      <c r="J56" s="124"/>
      <c r="K56" s="612" t="str">
        <f>IF(E56="","",E56-G56)</f>
        <v/>
      </c>
      <c r="L56" s="613"/>
      <c r="M56" s="613"/>
      <c r="N56" s="127"/>
      <c r="O56" s="228"/>
      <c r="P56" s="98"/>
      <c r="Q56" s="98"/>
      <c r="R56" s="98"/>
      <c r="S56" s="358"/>
      <c r="T56" s="358"/>
      <c r="U56" s="358"/>
      <c r="V56" s="358"/>
      <c r="W56" s="358"/>
      <c r="X56" s="358"/>
      <c r="Y56" s="358"/>
      <c r="Z56" s="358"/>
    </row>
    <row r="57" spans="1:26" x14ac:dyDescent="0.25">
      <c r="A57" s="129"/>
      <c r="B57" s="98"/>
      <c r="C57" s="98"/>
      <c r="D57" s="98"/>
      <c r="E57" s="124"/>
      <c r="F57" s="124"/>
      <c r="G57" s="130"/>
      <c r="H57" s="124"/>
      <c r="I57" s="124"/>
      <c r="J57" s="124"/>
      <c r="K57" s="630">
        <f>SUM(K51:M54)+SUM(K56:M56)</f>
        <v>0</v>
      </c>
      <c r="L57" s="631"/>
      <c r="M57" s="632"/>
      <c r="N57" s="102"/>
      <c r="O57" s="602">
        <f>K57/K61</f>
        <v>0</v>
      </c>
      <c r="P57" s="653">
        <f>O57</f>
        <v>0</v>
      </c>
      <c r="Q57" s="98"/>
      <c r="R57" s="98"/>
      <c r="S57" s="358"/>
      <c r="T57" s="358"/>
      <c r="U57" s="358"/>
      <c r="V57" s="358"/>
      <c r="W57" s="358"/>
      <c r="X57" s="358"/>
      <c r="Y57" s="358"/>
      <c r="Z57" s="358"/>
    </row>
    <row r="58" spans="1:26" x14ac:dyDescent="0.25">
      <c r="A58" s="129"/>
      <c r="B58" s="98"/>
      <c r="C58" s="98"/>
      <c r="D58" s="98"/>
      <c r="E58" s="124"/>
      <c r="F58" s="124"/>
      <c r="G58" s="131"/>
      <c r="H58" s="124"/>
      <c r="I58" s="132" t="s">
        <v>248</v>
      </c>
      <c r="J58" s="124"/>
      <c r="K58" s="655">
        <f>SUM(K51:M56)</f>
        <v>0</v>
      </c>
      <c r="L58" s="656"/>
      <c r="M58" s="657"/>
      <c r="N58" s="102"/>
      <c r="O58" s="603"/>
      <c r="P58" s="654"/>
      <c r="Q58" s="98"/>
      <c r="R58" s="126"/>
      <c r="S58" s="358"/>
      <c r="T58" s="358"/>
      <c r="U58" s="358"/>
      <c r="V58" s="447"/>
      <c r="W58" s="358"/>
      <c r="X58" s="358"/>
      <c r="Y58" s="358"/>
      <c r="Z58" s="358"/>
    </row>
    <row r="59" spans="1:26" x14ac:dyDescent="0.25">
      <c r="A59" s="119"/>
      <c r="B59" s="98"/>
      <c r="C59" s="98"/>
      <c r="D59" s="98"/>
      <c r="E59" s="98"/>
      <c r="F59" s="98"/>
      <c r="G59" s="132"/>
      <c r="H59" s="98"/>
      <c r="I59" s="98"/>
      <c r="J59" s="98"/>
      <c r="K59" s="145"/>
      <c r="L59" s="146"/>
      <c r="M59" s="146"/>
      <c r="N59" s="147"/>
      <c r="O59" s="147"/>
      <c r="P59" s="98"/>
      <c r="Q59" s="98"/>
      <c r="R59" s="98"/>
      <c r="S59" s="358"/>
      <c r="T59" s="358"/>
      <c r="U59" s="358"/>
      <c r="V59" s="358"/>
      <c r="W59" s="358"/>
      <c r="X59" s="358"/>
      <c r="Y59" s="358"/>
      <c r="Z59" s="358"/>
    </row>
    <row r="60" spans="1:26" x14ac:dyDescent="0.25">
      <c r="A60" s="129"/>
      <c r="B60" s="98"/>
      <c r="C60" s="98"/>
      <c r="D60" s="98"/>
      <c r="E60" s="98"/>
      <c r="F60" s="98"/>
      <c r="G60" s="130"/>
      <c r="H60" s="98"/>
      <c r="I60" s="98"/>
      <c r="J60" s="98"/>
      <c r="K60" s="145"/>
      <c r="L60" s="146"/>
      <c r="M60" s="146"/>
      <c r="N60" s="147"/>
      <c r="O60" s="147"/>
      <c r="P60" s="98"/>
      <c r="Q60" s="98"/>
      <c r="R60" s="98"/>
      <c r="S60" s="358"/>
      <c r="T60" s="358"/>
      <c r="U60" s="358"/>
      <c r="V60" s="358"/>
      <c r="W60" s="358"/>
      <c r="X60" s="358"/>
      <c r="Y60" s="358"/>
      <c r="Z60" s="358"/>
    </row>
    <row r="61" spans="1:26" x14ac:dyDescent="0.25">
      <c r="A61" s="129"/>
      <c r="B61" s="98"/>
      <c r="C61" s="98"/>
      <c r="D61" s="98"/>
      <c r="E61" s="98"/>
      <c r="F61" s="98"/>
      <c r="G61" s="130"/>
      <c r="H61" s="98"/>
      <c r="I61" s="98"/>
      <c r="J61" s="98"/>
      <c r="K61" s="658">
        <f>K57+K44+K33+K20</f>
        <v>14392703.960000001</v>
      </c>
      <c r="L61" s="659"/>
      <c r="M61" s="660"/>
      <c r="N61" s="127"/>
      <c r="O61" s="602">
        <f>O57+O20+O33+O44</f>
        <v>0.99999999999999989</v>
      </c>
      <c r="P61" s="653">
        <f>O61</f>
        <v>0.99999999999999989</v>
      </c>
      <c r="Q61" s="98"/>
      <c r="R61" s="98"/>
      <c r="S61" s="358"/>
      <c r="T61" s="358"/>
      <c r="U61" s="358"/>
      <c r="V61" s="358"/>
      <c r="W61" s="358"/>
      <c r="X61" s="358"/>
      <c r="Y61" s="358"/>
      <c r="Z61" s="358"/>
    </row>
    <row r="62" spans="1:26" x14ac:dyDescent="0.25">
      <c r="A62" s="129"/>
      <c r="B62" s="98"/>
      <c r="C62" s="98"/>
      <c r="D62" s="98"/>
      <c r="E62" s="98"/>
      <c r="F62" s="98"/>
      <c r="H62" s="98"/>
      <c r="I62" s="132" t="s">
        <v>180</v>
      </c>
      <c r="J62" s="98"/>
      <c r="K62" s="661">
        <f>K20+K34+K44+K58</f>
        <v>14392703.960000001</v>
      </c>
      <c r="L62" s="656"/>
      <c r="M62" s="657"/>
      <c r="N62" s="102"/>
      <c r="O62" s="603"/>
      <c r="P62" s="654"/>
      <c r="Q62" s="98"/>
      <c r="R62" s="98"/>
      <c r="S62" s="358"/>
      <c r="T62" s="358"/>
      <c r="U62" s="358"/>
      <c r="V62" s="358"/>
      <c r="W62" s="358"/>
      <c r="X62" s="358"/>
      <c r="Y62" s="358"/>
      <c r="Z62" s="358"/>
    </row>
    <row r="63" spans="1:26" x14ac:dyDescent="0.25">
      <c r="A63" s="129"/>
      <c r="B63" s="98"/>
      <c r="C63" s="98"/>
      <c r="D63" s="98"/>
      <c r="E63" s="98"/>
      <c r="F63" s="98"/>
      <c r="H63" s="98"/>
      <c r="I63" s="132"/>
      <c r="J63" s="98"/>
      <c r="K63" s="647"/>
      <c r="L63" s="647"/>
      <c r="M63" s="647"/>
      <c r="N63" s="102"/>
      <c r="O63" s="148"/>
      <c r="P63" s="98"/>
      <c r="Q63" s="98"/>
      <c r="R63" s="98"/>
      <c r="S63" s="358"/>
      <c r="T63" s="358"/>
      <c r="U63" s="358"/>
      <c r="V63" s="358"/>
      <c r="W63" s="358"/>
      <c r="X63" s="358"/>
      <c r="Y63" s="358"/>
      <c r="Z63" s="358"/>
    </row>
    <row r="64" spans="1:26" x14ac:dyDescent="0.25">
      <c r="A64" s="98"/>
      <c r="B64" s="98"/>
      <c r="C64" s="98"/>
      <c r="D64" s="98"/>
      <c r="E64" s="98"/>
      <c r="F64" s="98"/>
      <c r="G64" s="98"/>
      <c r="H64" s="98"/>
      <c r="I64" s="98"/>
      <c r="J64" s="98"/>
      <c r="K64" s="102"/>
      <c r="L64" s="98"/>
      <c r="M64" s="98"/>
      <c r="N64" s="102"/>
      <c r="O64" s="102"/>
      <c r="P64" s="98"/>
      <c r="Q64" s="98"/>
      <c r="R64" s="98"/>
      <c r="S64" s="358"/>
      <c r="T64" s="358"/>
      <c r="U64" s="358"/>
      <c r="V64" s="358"/>
      <c r="W64" s="358"/>
      <c r="X64" s="358"/>
      <c r="Y64" s="358"/>
      <c r="Z64" s="358"/>
    </row>
    <row r="65" spans="1:26" x14ac:dyDescent="0.25">
      <c r="A65" s="149" t="s">
        <v>181</v>
      </c>
      <c r="B65" s="98"/>
      <c r="C65" s="98"/>
      <c r="D65" s="98"/>
      <c r="E65" s="648"/>
      <c r="F65" s="649"/>
      <c r="G65" s="649"/>
      <c r="H65" s="649"/>
      <c r="I65" s="649"/>
      <c r="J65" s="649"/>
      <c r="K65" s="649"/>
      <c r="L65" s="649"/>
      <c r="M65" s="649"/>
      <c r="N65" s="649"/>
      <c r="O65" s="649"/>
      <c r="P65" s="650"/>
      <c r="Q65" s="98"/>
      <c r="R65" s="98"/>
      <c r="S65" s="358"/>
      <c r="T65" s="358"/>
      <c r="U65" s="358"/>
      <c r="V65" s="358"/>
      <c r="W65" s="358"/>
      <c r="X65" s="358"/>
      <c r="Y65" s="358"/>
      <c r="Z65" s="358"/>
    </row>
    <row r="66" spans="1:26" x14ac:dyDescent="0.25">
      <c r="A66" s="649"/>
      <c r="B66" s="650"/>
      <c r="C66" s="650"/>
      <c r="D66" s="650"/>
      <c r="E66" s="650"/>
      <c r="F66" s="650"/>
      <c r="G66" s="650"/>
      <c r="H66" s="650"/>
      <c r="I66" s="650"/>
      <c r="J66" s="650"/>
      <c r="K66" s="650"/>
      <c r="L66" s="650"/>
      <c r="M66" s="650"/>
      <c r="N66" s="650"/>
      <c r="O66" s="650"/>
      <c r="P66" s="650"/>
      <c r="Q66" s="98"/>
      <c r="R66" s="98"/>
      <c r="S66" s="358"/>
      <c r="T66" s="358"/>
      <c r="U66" s="358"/>
      <c r="V66" s="358"/>
      <c r="W66" s="358"/>
      <c r="X66" s="358"/>
      <c r="Y66" s="358"/>
      <c r="Z66" s="358"/>
    </row>
    <row r="67" spans="1:26" x14ac:dyDescent="0.25">
      <c r="A67" s="651"/>
      <c r="B67" s="646"/>
      <c r="C67" s="646"/>
      <c r="D67" s="646"/>
      <c r="E67" s="646"/>
      <c r="F67" s="646"/>
      <c r="G67" s="646"/>
      <c r="H67" s="646"/>
      <c r="I67" s="646"/>
      <c r="J67" s="646"/>
      <c r="K67" s="646"/>
      <c r="L67" s="646"/>
      <c r="M67" s="646"/>
      <c r="N67" s="646"/>
      <c r="O67" s="646"/>
      <c r="P67" s="646"/>
      <c r="Q67" s="98"/>
      <c r="R67" s="98"/>
      <c r="S67" s="358"/>
      <c r="T67" s="358"/>
      <c r="U67" s="358"/>
      <c r="V67" s="358"/>
      <c r="W67" s="358"/>
      <c r="X67" s="358"/>
      <c r="Y67" s="358"/>
      <c r="Z67" s="358"/>
    </row>
    <row r="68" spans="1:26" x14ac:dyDescent="0.25">
      <c r="A68" s="652"/>
      <c r="B68" s="646"/>
      <c r="C68" s="646"/>
      <c r="D68" s="646"/>
      <c r="E68" s="646"/>
      <c r="F68" s="646"/>
      <c r="G68" s="646"/>
      <c r="H68" s="646"/>
      <c r="I68" s="646"/>
      <c r="J68" s="646"/>
      <c r="K68" s="646"/>
      <c r="L68" s="646"/>
      <c r="M68" s="646"/>
      <c r="N68" s="646"/>
      <c r="O68" s="646"/>
      <c r="P68" s="646"/>
      <c r="Q68" s="98"/>
      <c r="R68" s="98"/>
      <c r="S68" s="358"/>
      <c r="T68" s="358"/>
      <c r="U68" s="358"/>
      <c r="V68" s="358"/>
      <c r="W68" s="358"/>
      <c r="X68" s="358"/>
      <c r="Y68" s="358"/>
      <c r="Z68" s="358"/>
    </row>
    <row r="69" spans="1:26" x14ac:dyDescent="0.25">
      <c r="A69" s="645"/>
      <c r="B69" s="646"/>
      <c r="C69" s="646"/>
      <c r="D69" s="646"/>
      <c r="E69" s="646"/>
      <c r="F69" s="646"/>
      <c r="G69" s="646"/>
      <c r="H69" s="646"/>
      <c r="I69" s="646"/>
      <c r="J69" s="646"/>
      <c r="K69" s="646"/>
      <c r="L69" s="646"/>
      <c r="M69" s="646"/>
      <c r="N69" s="646"/>
      <c r="O69" s="646"/>
      <c r="P69" s="646"/>
      <c r="Q69" s="98"/>
      <c r="R69" s="98"/>
      <c r="S69" s="358"/>
      <c r="T69" s="358"/>
      <c r="U69" s="358"/>
      <c r="V69" s="358"/>
      <c r="W69" s="358"/>
      <c r="X69" s="358"/>
      <c r="Y69" s="358"/>
      <c r="Z69" s="358"/>
    </row>
    <row r="70" spans="1:26" x14ac:dyDescent="0.25">
      <c r="A70" s="645"/>
      <c r="B70" s="646"/>
      <c r="C70" s="646"/>
      <c r="D70" s="646"/>
      <c r="E70" s="646"/>
      <c r="F70" s="646"/>
      <c r="G70" s="646"/>
      <c r="H70" s="646"/>
      <c r="I70" s="646"/>
      <c r="J70" s="646"/>
      <c r="K70" s="646"/>
      <c r="L70" s="646"/>
      <c r="M70" s="646"/>
      <c r="N70" s="646"/>
      <c r="O70" s="646"/>
      <c r="P70" s="646"/>
      <c r="Q70" s="98"/>
      <c r="R70" s="98"/>
      <c r="S70" s="358"/>
      <c r="T70" s="358"/>
      <c r="U70" s="358"/>
      <c r="V70" s="358"/>
      <c r="W70" s="358"/>
      <c r="X70" s="358"/>
      <c r="Y70" s="358"/>
      <c r="Z70" s="358"/>
    </row>
    <row r="71" spans="1:26" x14ac:dyDescent="0.25">
      <c r="A71" s="141"/>
      <c r="B71" s="141"/>
      <c r="C71" s="141"/>
      <c r="D71" s="141"/>
      <c r="E71" s="141"/>
      <c r="F71" s="141"/>
      <c r="G71" s="141"/>
      <c r="H71" s="141"/>
      <c r="I71" s="141"/>
      <c r="J71" s="141"/>
      <c r="K71" s="141"/>
      <c r="L71" s="141"/>
      <c r="M71" s="141"/>
      <c r="N71" s="141"/>
      <c r="O71" s="141"/>
      <c r="P71" s="98"/>
      <c r="Q71" s="98"/>
      <c r="R71" s="98"/>
      <c r="S71" s="358"/>
      <c r="T71" s="358"/>
      <c r="U71" s="358"/>
      <c r="V71" s="358"/>
      <c r="W71" s="358"/>
      <c r="X71" s="358"/>
      <c r="Y71" s="358"/>
      <c r="Z71" s="358"/>
    </row>
    <row r="72" spans="1:26" x14ac:dyDescent="0.25">
      <c r="A72" s="150" t="s">
        <v>182</v>
      </c>
      <c r="B72" s="98"/>
      <c r="C72" s="98"/>
      <c r="D72" s="98"/>
      <c r="E72" s="98"/>
      <c r="F72" s="98"/>
      <c r="G72" s="98"/>
      <c r="H72" s="98"/>
      <c r="I72" s="98"/>
      <c r="J72" s="98"/>
      <c r="K72" s="139"/>
      <c r="L72" s="98"/>
      <c r="M72" s="98"/>
      <c r="N72" s="102"/>
      <c r="O72" s="102"/>
      <c r="P72" s="98"/>
      <c r="Q72" s="98"/>
      <c r="R72" s="98"/>
      <c r="S72" s="358"/>
      <c r="T72" s="358"/>
      <c r="U72" s="358"/>
      <c r="V72" s="358"/>
      <c r="W72" s="358"/>
      <c r="X72" s="358"/>
      <c r="Y72" s="358"/>
      <c r="Z72" s="358"/>
    </row>
    <row r="73" spans="1:26" x14ac:dyDescent="0.25">
      <c r="A73" s="229" t="s">
        <v>183</v>
      </c>
      <c r="B73" s="98"/>
      <c r="C73" s="98"/>
      <c r="D73" s="98"/>
      <c r="E73" s="98"/>
      <c r="F73" s="98"/>
      <c r="G73" s="98"/>
      <c r="H73" s="98"/>
      <c r="I73" s="151"/>
      <c r="J73" s="98"/>
      <c r="K73" s="152"/>
      <c r="L73" s="98"/>
      <c r="M73" s="98"/>
      <c r="N73" s="152"/>
      <c r="O73" s="152"/>
      <c r="P73" s="98"/>
      <c r="Q73" s="98"/>
      <c r="R73" s="98"/>
      <c r="S73" s="358"/>
      <c r="T73" s="358"/>
      <c r="U73" s="358"/>
      <c r="V73" s="358"/>
      <c r="W73" s="358"/>
      <c r="X73" s="358"/>
      <c r="Y73" s="358"/>
      <c r="Z73" s="358"/>
    </row>
    <row r="74" spans="1:26" x14ac:dyDescent="0.25">
      <c r="A74" s="153" t="s">
        <v>184</v>
      </c>
      <c r="B74" s="120"/>
      <c r="C74" s="120"/>
      <c r="D74" s="120"/>
      <c r="E74" s="120"/>
      <c r="F74" s="120"/>
      <c r="G74" s="120"/>
      <c r="H74" s="120"/>
      <c r="I74" s="120"/>
      <c r="J74" s="120"/>
      <c r="K74" s="154"/>
      <c r="L74" s="120"/>
      <c r="M74" s="120"/>
      <c r="N74" s="154"/>
      <c r="O74" s="154"/>
      <c r="P74" s="120"/>
      <c r="Q74" s="98"/>
      <c r="R74" s="98"/>
      <c r="S74" s="358"/>
      <c r="T74" s="358"/>
      <c r="U74" s="358"/>
      <c r="V74" s="358"/>
      <c r="W74" s="358"/>
      <c r="X74" s="358"/>
      <c r="Y74" s="358"/>
      <c r="Z74" s="358"/>
    </row>
    <row r="75" spans="1:26" x14ac:dyDescent="0.25">
      <c r="A75" s="230"/>
      <c r="B75" s="98"/>
      <c r="C75" s="98"/>
      <c r="D75" s="98"/>
      <c r="E75" s="98"/>
      <c r="F75" s="98"/>
      <c r="G75" s="98"/>
      <c r="H75" s="98"/>
      <c r="I75" s="98"/>
      <c r="J75" s="98"/>
      <c r="K75" s="231"/>
      <c r="L75" s="231"/>
      <c r="M75" s="231"/>
      <c r="N75" s="232"/>
      <c r="O75" s="232"/>
      <c r="P75" s="98"/>
      <c r="Q75" s="98"/>
      <c r="R75" s="98"/>
      <c r="S75" s="358"/>
      <c r="T75" s="358"/>
      <c r="U75" s="358"/>
      <c r="V75" s="358"/>
      <c r="W75" s="358"/>
      <c r="X75" s="358"/>
      <c r="Y75" s="358"/>
      <c r="Z75" s="358"/>
    </row>
    <row r="76" spans="1:26" x14ac:dyDescent="0.25">
      <c r="A76" s="98"/>
      <c r="B76" s="98"/>
      <c r="C76" s="98"/>
      <c r="D76" s="98"/>
      <c r="E76" s="98"/>
      <c r="F76" s="98"/>
      <c r="G76" s="98"/>
      <c r="H76" s="98"/>
      <c r="I76" s="98"/>
      <c r="J76" s="98"/>
      <c r="K76" s="98"/>
      <c r="L76" s="98"/>
      <c r="M76" s="98"/>
      <c r="N76" s="98"/>
      <c r="O76" s="98"/>
      <c r="P76" s="98"/>
      <c r="S76" s="358"/>
      <c r="T76" s="358"/>
      <c r="U76" s="358"/>
      <c r="V76" s="358"/>
      <c r="W76" s="358"/>
      <c r="X76" s="358"/>
      <c r="Y76" s="358"/>
      <c r="Z76" s="358"/>
    </row>
  </sheetData>
  <mergeCells count="100">
    <mergeCell ref="S1:Z6"/>
    <mergeCell ref="A70:P70"/>
    <mergeCell ref="K63:M63"/>
    <mergeCell ref="E65:P65"/>
    <mergeCell ref="A66:P66"/>
    <mergeCell ref="A67:P67"/>
    <mergeCell ref="A68:P68"/>
    <mergeCell ref="A69:P69"/>
    <mergeCell ref="P57:P58"/>
    <mergeCell ref="K58:M58"/>
    <mergeCell ref="K61:M61"/>
    <mergeCell ref="O61:O62"/>
    <mergeCell ref="P61:P62"/>
    <mergeCell ref="K62:M62"/>
    <mergeCell ref="O57:O58"/>
    <mergeCell ref="G55:I55"/>
    <mergeCell ref="K55:M55"/>
    <mergeCell ref="G56:I56"/>
    <mergeCell ref="K56:M56"/>
    <mergeCell ref="K57:M57"/>
    <mergeCell ref="G52:I52"/>
    <mergeCell ref="K52:M52"/>
    <mergeCell ref="G53:I53"/>
    <mergeCell ref="K53:M53"/>
    <mergeCell ref="G54:I54"/>
    <mergeCell ref="K54:M54"/>
    <mergeCell ref="A48:C50"/>
    <mergeCell ref="E48:E50"/>
    <mergeCell ref="G48:I50"/>
    <mergeCell ref="K48:M50"/>
    <mergeCell ref="O48:P50"/>
    <mergeCell ref="G51:I51"/>
    <mergeCell ref="K51:M51"/>
    <mergeCell ref="G43:I43"/>
    <mergeCell ref="K43:M43"/>
    <mergeCell ref="K44:M45"/>
    <mergeCell ref="O44:O45"/>
    <mergeCell ref="P44:P45"/>
    <mergeCell ref="A47:C47"/>
    <mergeCell ref="G47:I47"/>
    <mergeCell ref="K47:M47"/>
    <mergeCell ref="A39:C41"/>
    <mergeCell ref="E39:E41"/>
    <mergeCell ref="G39:I41"/>
    <mergeCell ref="K39:M41"/>
    <mergeCell ref="O39:P41"/>
    <mergeCell ref="G42:I42"/>
    <mergeCell ref="K42:M42"/>
    <mergeCell ref="K33:M33"/>
    <mergeCell ref="O33:O34"/>
    <mergeCell ref="K34:M34"/>
    <mergeCell ref="A38:C38"/>
    <mergeCell ref="G38:I38"/>
    <mergeCell ref="K38:M38"/>
    <mergeCell ref="G30:I30"/>
    <mergeCell ref="K30:M30"/>
    <mergeCell ref="G31:I31"/>
    <mergeCell ref="K31:M31"/>
    <mergeCell ref="G32:I32"/>
    <mergeCell ref="K32:M32"/>
    <mergeCell ref="O24:P26"/>
    <mergeCell ref="G27:I27"/>
    <mergeCell ref="K27:M27"/>
    <mergeCell ref="G28:I28"/>
    <mergeCell ref="K28:M28"/>
    <mergeCell ref="G29:I29"/>
    <mergeCell ref="K29:M29"/>
    <mergeCell ref="A23:C23"/>
    <mergeCell ref="G23:I23"/>
    <mergeCell ref="K23:M23"/>
    <mergeCell ref="A24:C26"/>
    <mergeCell ref="E24:E26"/>
    <mergeCell ref="G24:I26"/>
    <mergeCell ref="K24:M26"/>
    <mergeCell ref="O20:O21"/>
    <mergeCell ref="O11:P13"/>
    <mergeCell ref="G15:I15"/>
    <mergeCell ref="K15:M15"/>
    <mergeCell ref="G16:I16"/>
    <mergeCell ref="K16:M16"/>
    <mergeCell ref="G17:I17"/>
    <mergeCell ref="K17:M17"/>
    <mergeCell ref="G18:I18"/>
    <mergeCell ref="K18:M18"/>
    <mergeCell ref="G19:I19"/>
    <mergeCell ref="K19:M19"/>
    <mergeCell ref="K20:M21"/>
    <mergeCell ref="A10:C10"/>
    <mergeCell ref="G10:I10"/>
    <mergeCell ref="K10:M10"/>
    <mergeCell ref="A11:C13"/>
    <mergeCell ref="E11:E13"/>
    <mergeCell ref="G11:I13"/>
    <mergeCell ref="K11:M13"/>
    <mergeCell ref="A2:O2"/>
    <mergeCell ref="A3:G3"/>
    <mergeCell ref="I3:K3"/>
    <mergeCell ref="A6:J6"/>
    <mergeCell ref="K6:M6"/>
    <mergeCell ref="N6:P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N83"/>
  <sheetViews>
    <sheetView workbookViewId="0">
      <pane xSplit="13" ySplit="21" topLeftCell="N70" activePane="bottomRight" state="frozen"/>
      <selection activeCell="E15" sqref="E15:E19"/>
      <selection pane="topRight" activeCell="E15" sqref="E15:E19"/>
      <selection pane="bottomLeft" activeCell="E15" sqref="E15:E19"/>
      <selection pane="bottomRight" activeCell="K27" sqref="K27"/>
    </sheetView>
  </sheetViews>
  <sheetFormatPr defaultRowHeight="15" x14ac:dyDescent="0.25"/>
  <cols>
    <col min="1" max="1" width="13.42578125" customWidth="1"/>
    <col min="2" max="2" width="5.42578125" customWidth="1"/>
    <col min="3" max="3" width="1.42578125" customWidth="1"/>
    <col min="4" max="4" width="1.7109375" customWidth="1"/>
    <col min="5" max="5" width="20.7109375" customWidth="1"/>
    <col min="6" max="6" width="1.7109375" customWidth="1"/>
    <col min="7" max="7" width="20.7109375" customWidth="1"/>
    <col min="8" max="8" width="1.7109375" customWidth="1"/>
    <col min="9" max="9" width="20.7109375" customWidth="1"/>
    <col min="10" max="10" width="1.7109375" customWidth="1"/>
    <col min="11" max="11" width="20.7109375" customWidth="1"/>
    <col min="12" max="12" width="1.7109375" customWidth="1"/>
    <col min="13" max="13" width="20.7109375" customWidth="1"/>
  </cols>
  <sheetData>
    <row r="1" spans="1:13" ht="15.75" x14ac:dyDescent="0.25">
      <c r="A1" s="233"/>
      <c r="B1" s="97"/>
      <c r="C1" s="97"/>
      <c r="D1" s="97"/>
      <c r="E1" s="97"/>
      <c r="F1" s="97"/>
      <c r="G1" s="97"/>
      <c r="H1" s="97"/>
      <c r="I1" s="97"/>
      <c r="J1" s="97"/>
      <c r="K1" s="97"/>
      <c r="L1" s="97"/>
      <c r="M1" s="97"/>
    </row>
    <row r="2" spans="1:13" ht="16.5" x14ac:dyDescent="0.3">
      <c r="A2" s="666" t="s">
        <v>185</v>
      </c>
      <c r="B2" s="667"/>
      <c r="C2" s="667"/>
      <c r="D2" s="667"/>
      <c r="E2" s="667"/>
      <c r="F2" s="667"/>
      <c r="G2" s="667"/>
      <c r="H2" s="667"/>
      <c r="I2" s="667"/>
      <c r="J2" s="667"/>
      <c r="K2" s="667"/>
      <c r="L2" s="667"/>
      <c r="M2" s="667"/>
    </row>
    <row r="3" spans="1:13" ht="15.75" x14ac:dyDescent="0.25">
      <c r="A3" s="668"/>
      <c r="B3" s="555"/>
      <c r="C3" s="555"/>
      <c r="D3" s="555"/>
      <c r="E3" s="555"/>
      <c r="F3" s="555"/>
      <c r="G3" s="555"/>
      <c r="H3" s="555"/>
      <c r="I3" s="555"/>
      <c r="J3" s="555"/>
      <c r="K3" s="555"/>
      <c r="L3" s="555"/>
      <c r="M3" s="555"/>
    </row>
    <row r="4" spans="1:13" x14ac:dyDescent="0.25">
      <c r="A4" s="155" t="s">
        <v>186</v>
      </c>
      <c r="B4" s="156"/>
      <c r="C4" s="156"/>
      <c r="D4" s="144"/>
      <c r="E4" s="157"/>
      <c r="F4" s="144"/>
      <c r="G4" s="144"/>
      <c r="H4" s="144"/>
      <c r="I4" s="144"/>
      <c r="J4" s="144"/>
      <c r="K4" s="144"/>
      <c r="L4" s="157"/>
      <c r="M4" s="144"/>
    </row>
    <row r="5" spans="1:13" ht="15.75" thickBot="1" x14ac:dyDescent="0.3">
      <c r="A5" s="669" t="s">
        <v>161</v>
      </c>
      <c r="B5" s="670"/>
      <c r="C5" s="671"/>
      <c r="D5" s="118"/>
      <c r="E5" s="158" t="s">
        <v>162</v>
      </c>
      <c r="F5" s="118"/>
      <c r="G5" s="158" t="s">
        <v>163</v>
      </c>
      <c r="H5" s="118"/>
      <c r="I5" s="158" t="s">
        <v>164</v>
      </c>
      <c r="J5" s="118"/>
      <c r="K5" s="158" t="s">
        <v>165</v>
      </c>
      <c r="L5" s="159"/>
      <c r="M5" s="158" t="s">
        <v>187</v>
      </c>
    </row>
    <row r="6" spans="1:13" ht="15.75" customHeight="1" thickTop="1" x14ac:dyDescent="0.25">
      <c r="A6" s="573" t="s">
        <v>188</v>
      </c>
      <c r="B6" s="586"/>
      <c r="C6" s="672"/>
      <c r="D6" s="118"/>
      <c r="E6" s="582" t="s">
        <v>189</v>
      </c>
      <c r="F6" s="116" t="s">
        <v>168</v>
      </c>
      <c r="G6" s="673" t="s">
        <v>190</v>
      </c>
      <c r="H6" s="116" t="s">
        <v>170</v>
      </c>
      <c r="I6" s="673" t="s">
        <v>191</v>
      </c>
      <c r="J6" s="116" t="s">
        <v>168</v>
      </c>
      <c r="K6" s="673" t="s">
        <v>192</v>
      </c>
      <c r="L6" s="160" t="s">
        <v>170</v>
      </c>
      <c r="M6" s="673" t="s">
        <v>249</v>
      </c>
    </row>
    <row r="7" spans="1:13" x14ac:dyDescent="0.25">
      <c r="A7" s="576"/>
      <c r="B7" s="577"/>
      <c r="C7" s="578"/>
      <c r="D7" s="118"/>
      <c r="E7" s="583"/>
      <c r="F7" s="116"/>
      <c r="G7" s="674"/>
      <c r="H7" s="116"/>
      <c r="I7" s="674"/>
      <c r="J7" s="116"/>
      <c r="K7" s="674"/>
      <c r="L7" s="160"/>
      <c r="M7" s="674"/>
    </row>
    <row r="8" spans="1:13" ht="15.75" thickBot="1" x14ac:dyDescent="0.3">
      <c r="A8" s="579"/>
      <c r="B8" s="580"/>
      <c r="C8" s="581"/>
      <c r="D8" s="118"/>
      <c r="E8" s="584"/>
      <c r="F8" s="118"/>
      <c r="G8" s="675"/>
      <c r="H8" s="118"/>
      <c r="I8" s="675"/>
      <c r="J8" s="118"/>
      <c r="K8" s="675"/>
      <c r="L8" s="159"/>
      <c r="M8" s="675"/>
    </row>
    <row r="9" spans="1:13" ht="15.75" thickTop="1" x14ac:dyDescent="0.25">
      <c r="A9" s="98"/>
      <c r="B9" s="98"/>
      <c r="C9" s="141"/>
      <c r="D9" s="98"/>
      <c r="E9" s="124"/>
      <c r="F9" s="98"/>
      <c r="G9" s="98"/>
      <c r="H9" s="98"/>
      <c r="I9" s="98"/>
      <c r="J9" s="98"/>
      <c r="K9" s="98"/>
      <c r="L9" s="124"/>
      <c r="M9" s="98"/>
    </row>
    <row r="10" spans="1:13" ht="23.25" x14ac:dyDescent="0.25">
      <c r="A10" s="209" t="s">
        <v>250</v>
      </c>
      <c r="B10" s="234">
        <v>1</v>
      </c>
      <c r="C10" s="211" t="s">
        <v>176</v>
      </c>
      <c r="D10" s="129"/>
      <c r="E10" s="235">
        <v>776006.77</v>
      </c>
      <c r="F10" s="157"/>
      <c r="G10" s="235">
        <v>0</v>
      </c>
      <c r="H10" s="157"/>
      <c r="I10" s="236">
        <v>776006.77</v>
      </c>
      <c r="J10" s="157"/>
      <c r="K10" s="236">
        <v>772432.8</v>
      </c>
      <c r="L10" s="157"/>
      <c r="M10" s="236">
        <f>I10-K10</f>
        <v>3573.9699999999721</v>
      </c>
    </row>
    <row r="11" spans="1:13" ht="23.25" x14ac:dyDescent="0.25">
      <c r="A11" s="209" t="s">
        <v>251</v>
      </c>
      <c r="B11" s="222">
        <v>242</v>
      </c>
      <c r="C11" s="211" t="s">
        <v>176</v>
      </c>
      <c r="D11" s="129"/>
      <c r="E11" s="235">
        <v>180210.88</v>
      </c>
      <c r="F11" s="157"/>
      <c r="G11" s="235">
        <v>0</v>
      </c>
      <c r="H11" s="157"/>
      <c r="I11" s="236">
        <v>180210.88</v>
      </c>
      <c r="J11" s="157"/>
      <c r="K11" s="236">
        <v>183784.85</v>
      </c>
      <c r="L11" s="157"/>
      <c r="M11" s="236">
        <f>I11-K11</f>
        <v>-3573.9700000000012</v>
      </c>
    </row>
    <row r="12" spans="1:13" ht="23.25" x14ac:dyDescent="0.25">
      <c r="A12" s="209" t="s">
        <v>252</v>
      </c>
      <c r="B12" s="222"/>
      <c r="C12" s="211" t="s">
        <v>176</v>
      </c>
      <c r="D12" s="129"/>
      <c r="E12" s="235">
        <v>0</v>
      </c>
      <c r="F12" s="161"/>
      <c r="G12" s="235">
        <v>0</v>
      </c>
      <c r="H12" s="157"/>
      <c r="I12" s="236">
        <v>0</v>
      </c>
      <c r="J12" s="157"/>
      <c r="K12" s="236">
        <v>0</v>
      </c>
      <c r="L12" s="157"/>
      <c r="M12" s="236">
        <f>I12-K12</f>
        <v>0</v>
      </c>
    </row>
    <row r="13" spans="1:13" ht="23.25" x14ac:dyDescent="0.25">
      <c r="A13" s="209" t="s">
        <v>253</v>
      </c>
      <c r="B13" s="222" t="s">
        <v>254</v>
      </c>
      <c r="C13" s="211" t="s">
        <v>176</v>
      </c>
      <c r="D13" s="129"/>
      <c r="E13" s="237">
        <v>0</v>
      </c>
      <c r="F13" s="157"/>
      <c r="G13" s="237">
        <v>0</v>
      </c>
      <c r="H13" s="157"/>
      <c r="I13" s="238">
        <v>0</v>
      </c>
      <c r="J13" s="157"/>
      <c r="K13" s="408">
        <v>0</v>
      </c>
      <c r="L13" s="157"/>
      <c r="M13" s="408">
        <f>I13-K13</f>
        <v>0</v>
      </c>
    </row>
    <row r="14" spans="1:13" x14ac:dyDescent="0.25">
      <c r="A14" s="144"/>
      <c r="B14" s="162"/>
      <c r="C14" s="144"/>
      <c r="D14" s="161"/>
      <c r="E14" s="131"/>
      <c r="F14" s="157"/>
      <c r="G14" s="131"/>
      <c r="H14" s="161"/>
      <c r="I14" s="131"/>
      <c r="J14" s="161"/>
      <c r="K14" s="163"/>
      <c r="L14" s="161"/>
      <c r="M14" s="131"/>
    </row>
    <row r="15" spans="1:13" x14ac:dyDescent="0.25">
      <c r="A15" s="144"/>
      <c r="B15" s="144"/>
      <c r="C15" s="144"/>
      <c r="D15" s="144"/>
      <c r="E15" s="157"/>
      <c r="F15" s="157"/>
      <c r="G15" s="676" t="s">
        <v>195</v>
      </c>
      <c r="H15" s="157"/>
      <c r="I15" s="678">
        <f>SUM(I10:I13)</f>
        <v>956217.65</v>
      </c>
      <c r="J15" s="157"/>
      <c r="K15" s="678">
        <f>SUM(K10:K13)</f>
        <v>956217.65</v>
      </c>
      <c r="L15" s="157"/>
      <c r="M15" s="678">
        <f>SUM(M10:M13)</f>
        <v>-2.9103830456733704E-11</v>
      </c>
    </row>
    <row r="16" spans="1:13" x14ac:dyDescent="0.25">
      <c r="A16" s="164"/>
      <c r="B16" s="144"/>
      <c r="C16" s="680"/>
      <c r="D16" s="665"/>
      <c r="E16" s="665"/>
      <c r="F16" s="665"/>
      <c r="G16" s="677"/>
      <c r="H16" s="157"/>
      <c r="I16" s="679"/>
      <c r="J16" s="157"/>
      <c r="K16" s="679"/>
      <c r="L16" s="157"/>
      <c r="M16" s="679"/>
    </row>
    <row r="17" spans="1:14" x14ac:dyDescent="0.25">
      <c r="A17" s="144"/>
      <c r="B17" s="144"/>
      <c r="C17" s="144"/>
      <c r="D17" s="144"/>
      <c r="E17" s="157"/>
      <c r="F17" s="144"/>
      <c r="G17" s="157"/>
      <c r="H17" s="144"/>
      <c r="I17" s="157"/>
      <c r="J17" s="144"/>
      <c r="K17" s="157"/>
      <c r="L17" s="144"/>
      <c r="M17" s="157"/>
    </row>
    <row r="18" spans="1:14" x14ac:dyDescent="0.25">
      <c r="A18" s="664"/>
      <c r="B18" s="665"/>
      <c r="C18" s="665"/>
      <c r="D18" s="665"/>
      <c r="E18" s="665"/>
      <c r="F18" s="144"/>
      <c r="G18" s="157"/>
      <c r="H18" s="144"/>
      <c r="I18" s="165"/>
      <c r="J18" s="144"/>
      <c r="K18" s="166" t="s">
        <v>196</v>
      </c>
      <c r="L18" s="144"/>
      <c r="M18" s="239"/>
    </row>
    <row r="19" spans="1:14" x14ac:dyDescent="0.25">
      <c r="A19" s="144"/>
      <c r="B19" s="144"/>
      <c r="C19" s="144"/>
      <c r="D19" s="144"/>
      <c r="E19" s="157"/>
      <c r="F19" s="144"/>
      <c r="G19" s="157"/>
      <c r="H19" s="144"/>
      <c r="I19" s="157"/>
      <c r="J19" s="144"/>
      <c r="K19" s="157"/>
      <c r="L19" s="144"/>
      <c r="M19" s="157"/>
    </row>
    <row r="20" spans="1:14" x14ac:dyDescent="0.25">
      <c r="A20" s="155" t="s">
        <v>197</v>
      </c>
      <c r="B20" s="156"/>
      <c r="C20" s="156"/>
      <c r="D20" s="144"/>
      <c r="E20" s="157"/>
      <c r="F20" s="144"/>
      <c r="G20" s="157"/>
      <c r="H20" s="144"/>
      <c r="I20" s="157"/>
      <c r="J20" s="144"/>
      <c r="K20" s="157"/>
      <c r="L20" s="144"/>
      <c r="M20" s="157"/>
    </row>
    <row r="21" spans="1:14" ht="15.75" thickBot="1" x14ac:dyDescent="0.3">
      <c r="A21" s="669" t="s">
        <v>161</v>
      </c>
      <c r="B21" s="670"/>
      <c r="C21" s="671"/>
      <c r="D21" s="118"/>
      <c r="E21" s="158" t="s">
        <v>162</v>
      </c>
      <c r="F21" s="118"/>
      <c r="G21" s="158" t="s">
        <v>163</v>
      </c>
      <c r="H21" s="118"/>
      <c r="I21" s="158" t="s">
        <v>164</v>
      </c>
      <c r="J21" s="118"/>
      <c r="K21" s="158" t="s">
        <v>165</v>
      </c>
      <c r="L21" s="159"/>
      <c r="M21" s="158" t="s">
        <v>187</v>
      </c>
    </row>
    <row r="22" spans="1:14" ht="15.75" customHeight="1" thickTop="1" x14ac:dyDescent="0.25">
      <c r="A22" s="573" t="s">
        <v>188</v>
      </c>
      <c r="B22" s="586"/>
      <c r="C22" s="672"/>
      <c r="D22" s="118"/>
      <c r="E22" s="582" t="s">
        <v>198</v>
      </c>
      <c r="F22" s="116" t="s">
        <v>168</v>
      </c>
      <c r="G22" s="673" t="s">
        <v>190</v>
      </c>
      <c r="H22" s="116" t="s">
        <v>170</v>
      </c>
      <c r="I22" s="673" t="s">
        <v>191</v>
      </c>
      <c r="J22" s="116" t="s">
        <v>168</v>
      </c>
      <c r="K22" s="673" t="s">
        <v>192</v>
      </c>
      <c r="L22" s="160" t="s">
        <v>170</v>
      </c>
      <c r="M22" s="673" t="s">
        <v>249</v>
      </c>
    </row>
    <row r="23" spans="1:14" x14ac:dyDescent="0.25">
      <c r="A23" s="576"/>
      <c r="B23" s="577"/>
      <c r="C23" s="578"/>
      <c r="D23" s="118"/>
      <c r="E23" s="583"/>
      <c r="F23" s="116"/>
      <c r="G23" s="674"/>
      <c r="H23" s="116"/>
      <c r="I23" s="674"/>
      <c r="J23" s="116"/>
      <c r="K23" s="674"/>
      <c r="L23" s="160"/>
      <c r="M23" s="674"/>
    </row>
    <row r="24" spans="1:14" ht="15.75" thickBot="1" x14ac:dyDescent="0.3">
      <c r="A24" s="579"/>
      <c r="B24" s="580"/>
      <c r="C24" s="581"/>
      <c r="D24" s="118"/>
      <c r="E24" s="584"/>
      <c r="F24" s="118"/>
      <c r="G24" s="675"/>
      <c r="H24" s="118"/>
      <c r="I24" s="675"/>
      <c r="J24" s="118"/>
      <c r="K24" s="675"/>
      <c r="L24" s="159"/>
      <c r="M24" s="675"/>
    </row>
    <row r="25" spans="1:14" ht="15.75" thickTop="1" x14ac:dyDescent="0.25">
      <c r="A25" s="168"/>
      <c r="B25" s="168"/>
      <c r="C25" s="168"/>
      <c r="D25" s="118"/>
      <c r="E25" s="168"/>
      <c r="F25" s="118"/>
      <c r="G25" s="168"/>
      <c r="H25" s="118"/>
      <c r="I25" s="168"/>
      <c r="J25" s="118"/>
      <c r="K25" s="168"/>
      <c r="L25" s="159"/>
      <c r="M25" s="168"/>
      <c r="N25" s="98"/>
    </row>
    <row r="26" spans="1:14" ht="23.25" x14ac:dyDescent="0.25">
      <c r="A26" s="209" t="s">
        <v>255</v>
      </c>
      <c r="B26" s="234">
        <v>1</v>
      </c>
      <c r="C26" s="211" t="s">
        <v>176</v>
      </c>
      <c r="D26" s="144"/>
      <c r="E26" s="235">
        <v>1307321.77</v>
      </c>
      <c r="F26" s="157"/>
      <c r="G26" s="235">
        <v>0</v>
      </c>
      <c r="H26" s="157"/>
      <c r="I26" s="236">
        <v>1307321.77</v>
      </c>
      <c r="J26" s="157"/>
      <c r="K26" s="236">
        <v>1148588.55</v>
      </c>
      <c r="L26" s="157"/>
      <c r="M26" s="236">
        <f>I26-K26</f>
        <v>158733.21999999997</v>
      </c>
    </row>
    <row r="27" spans="1:14" ht="23.25" x14ac:dyDescent="0.25">
      <c r="A27" s="209" t="s">
        <v>251</v>
      </c>
      <c r="B27" s="222">
        <v>242</v>
      </c>
      <c r="C27" s="211" t="s">
        <v>176</v>
      </c>
      <c r="D27" s="144"/>
      <c r="E27" s="235">
        <v>114550.33</v>
      </c>
      <c r="F27" s="157"/>
      <c r="G27" s="235">
        <v>0</v>
      </c>
      <c r="H27" s="157"/>
      <c r="I27" s="236">
        <v>114550.33</v>
      </c>
      <c r="J27" s="157"/>
      <c r="K27" s="236">
        <v>273283.55</v>
      </c>
      <c r="L27" s="157"/>
      <c r="M27" s="236">
        <f>I27-K27</f>
        <v>-158733.21999999997</v>
      </c>
    </row>
    <row r="28" spans="1:14" ht="23.25" x14ac:dyDescent="0.25">
      <c r="A28" s="209" t="s">
        <v>356</v>
      </c>
      <c r="B28" s="222"/>
      <c r="C28" s="211" t="s">
        <v>176</v>
      </c>
      <c r="D28" s="144"/>
      <c r="E28" s="235">
        <v>0</v>
      </c>
      <c r="F28" s="157"/>
      <c r="G28" s="235">
        <v>0</v>
      </c>
      <c r="H28" s="157"/>
      <c r="I28" s="236">
        <v>0</v>
      </c>
      <c r="J28" s="157"/>
      <c r="K28" s="236">
        <v>0</v>
      </c>
      <c r="L28" s="157"/>
      <c r="M28" s="236">
        <f>I28-K28</f>
        <v>0</v>
      </c>
    </row>
    <row r="29" spans="1:14" ht="23.25" x14ac:dyDescent="0.25">
      <c r="A29" s="209" t="s">
        <v>253</v>
      </c>
      <c r="B29" s="222" t="s">
        <v>254</v>
      </c>
      <c r="C29" s="211" t="s">
        <v>176</v>
      </c>
      <c r="D29" s="144"/>
      <c r="E29" s="237">
        <v>0</v>
      </c>
      <c r="F29" s="161"/>
      <c r="G29" s="237">
        <v>0</v>
      </c>
      <c r="H29" s="157"/>
      <c r="I29" s="238">
        <v>0</v>
      </c>
      <c r="J29" s="157"/>
      <c r="K29" s="408">
        <v>0</v>
      </c>
      <c r="L29" s="157"/>
      <c r="M29" s="408">
        <f>I29-K29</f>
        <v>0</v>
      </c>
    </row>
    <row r="30" spans="1:14" x14ac:dyDescent="0.25">
      <c r="A30" s="144"/>
      <c r="B30" s="162"/>
      <c r="C30" s="144"/>
      <c r="D30" s="161"/>
      <c r="E30" s="131"/>
      <c r="F30" s="157"/>
      <c r="G30" s="131"/>
      <c r="H30" s="161"/>
      <c r="I30" s="131"/>
      <c r="J30" s="161"/>
      <c r="K30" s="163"/>
      <c r="L30" s="161"/>
      <c r="M30" s="131"/>
    </row>
    <row r="31" spans="1:14" x14ac:dyDescent="0.25">
      <c r="A31" s="144"/>
      <c r="B31" s="144"/>
      <c r="C31" s="144"/>
      <c r="D31" s="144"/>
      <c r="E31" s="157"/>
      <c r="F31" s="157"/>
      <c r="G31" s="676" t="s">
        <v>195</v>
      </c>
      <c r="H31" s="157"/>
      <c r="I31" s="678">
        <f>SUM(I26:I29)</f>
        <v>1421872.1</v>
      </c>
      <c r="J31" s="157"/>
      <c r="K31" s="678">
        <f>SUM(K26:K29)</f>
        <v>1421872.1</v>
      </c>
      <c r="L31" s="157"/>
      <c r="M31" s="678">
        <f>SUM(M26:M29)</f>
        <v>0</v>
      </c>
    </row>
    <row r="32" spans="1:14" x14ac:dyDescent="0.25">
      <c r="A32" s="164"/>
      <c r="B32" s="144"/>
      <c r="C32" s="680"/>
      <c r="D32" s="665"/>
      <c r="E32" s="665"/>
      <c r="F32" s="665"/>
      <c r="G32" s="677"/>
      <c r="H32" s="157"/>
      <c r="I32" s="679"/>
      <c r="J32" s="157"/>
      <c r="K32" s="679"/>
      <c r="L32" s="157"/>
      <c r="M32" s="679"/>
    </row>
    <row r="33" spans="1:14" x14ac:dyDescent="0.25">
      <c r="A33" s="144"/>
      <c r="B33" s="144"/>
      <c r="C33" s="144"/>
      <c r="D33" s="144"/>
      <c r="E33" s="157"/>
      <c r="F33" s="144"/>
      <c r="G33" s="157"/>
      <c r="H33" s="144"/>
      <c r="I33" s="157"/>
      <c r="J33" s="144"/>
      <c r="K33" s="157"/>
      <c r="L33" s="144"/>
      <c r="M33" s="157"/>
    </row>
    <row r="34" spans="1:14" x14ac:dyDescent="0.25">
      <c r="A34" s="169" t="s">
        <v>199</v>
      </c>
      <c r="B34" s="170"/>
      <c r="C34" s="170"/>
      <c r="D34" s="170"/>
      <c r="E34" s="170"/>
      <c r="F34" s="171"/>
      <c r="G34" s="172"/>
      <c r="H34" s="144"/>
      <c r="I34" s="165"/>
      <c r="J34" s="144"/>
      <c r="K34" s="166" t="s">
        <v>196</v>
      </c>
      <c r="L34" s="144"/>
      <c r="M34" s="239"/>
    </row>
    <row r="35" spans="1:14" x14ac:dyDescent="0.25">
      <c r="A35" s="174"/>
      <c r="B35" s="664" t="s">
        <v>113</v>
      </c>
      <c r="C35" s="665"/>
      <c r="D35" s="665"/>
      <c r="E35" s="665"/>
      <c r="F35" s="665"/>
      <c r="G35" s="240"/>
      <c r="H35" s="144"/>
      <c r="I35" s="165"/>
      <c r="J35" s="144"/>
      <c r="K35" s="166"/>
      <c r="L35" s="144"/>
      <c r="M35" s="144"/>
    </row>
    <row r="36" spans="1:14" x14ac:dyDescent="0.25">
      <c r="A36" s="174"/>
      <c r="B36" s="664" t="s">
        <v>256</v>
      </c>
      <c r="C36" s="665"/>
      <c r="D36" s="665"/>
      <c r="E36" s="665"/>
      <c r="F36" s="665"/>
      <c r="G36" s="241"/>
      <c r="H36" s="144"/>
      <c r="I36" s="165"/>
      <c r="J36" s="144"/>
      <c r="K36" s="166"/>
      <c r="L36" s="144"/>
      <c r="M36" s="144"/>
    </row>
    <row r="37" spans="1:14" x14ac:dyDescent="0.25">
      <c r="A37" s="174"/>
      <c r="B37" s="664" t="s">
        <v>257</v>
      </c>
      <c r="C37" s="665"/>
      <c r="D37" s="665"/>
      <c r="E37" s="665"/>
      <c r="F37" s="665"/>
      <c r="G37" s="241"/>
      <c r="H37" s="144"/>
      <c r="I37" s="165"/>
      <c r="J37" s="144"/>
      <c r="K37" s="166"/>
      <c r="L37" s="144"/>
      <c r="M37" s="144"/>
    </row>
    <row r="38" spans="1:14" x14ac:dyDescent="0.25">
      <c r="A38" s="174"/>
      <c r="B38" s="664" t="s">
        <v>258</v>
      </c>
      <c r="C38" s="665"/>
      <c r="D38" s="665"/>
      <c r="E38" s="665"/>
      <c r="F38" s="665"/>
      <c r="G38" s="242"/>
      <c r="H38" s="144"/>
      <c r="I38" s="165"/>
      <c r="J38" s="144"/>
      <c r="K38" s="166"/>
      <c r="L38" s="144"/>
      <c r="M38" s="144"/>
    </row>
    <row r="39" spans="1:14" x14ac:dyDescent="0.25">
      <c r="A39" s="175"/>
      <c r="B39" s="681" t="s">
        <v>200</v>
      </c>
      <c r="C39" s="682"/>
      <c r="D39" s="682"/>
      <c r="E39" s="682"/>
      <c r="F39" s="682"/>
      <c r="G39" s="176">
        <f>SUM(G35:G38)</f>
        <v>0</v>
      </c>
      <c r="H39" s="144"/>
      <c r="I39" s="165"/>
      <c r="J39" s="144"/>
      <c r="K39" s="166"/>
      <c r="L39" s="144"/>
      <c r="M39" s="144"/>
    </row>
    <row r="40" spans="1:14" x14ac:dyDescent="0.25">
      <c r="A40" s="681"/>
      <c r="B40" s="682"/>
      <c r="C40" s="682"/>
      <c r="D40" s="682"/>
      <c r="E40" s="682"/>
      <c r="F40" s="173"/>
      <c r="G40" s="167"/>
      <c r="H40" s="173"/>
      <c r="I40" s="177"/>
      <c r="J40" s="173"/>
      <c r="K40" s="178"/>
      <c r="L40" s="173"/>
      <c r="M40" s="173"/>
    </row>
    <row r="41" spans="1:14" x14ac:dyDescent="0.25">
      <c r="A41" s="144"/>
      <c r="B41" s="144"/>
      <c r="C41" s="144"/>
      <c r="D41" s="144"/>
      <c r="E41" s="157"/>
      <c r="F41" s="144"/>
      <c r="G41" s="157"/>
      <c r="H41" s="144"/>
      <c r="I41" s="157"/>
      <c r="J41" s="144"/>
      <c r="K41" s="157"/>
      <c r="L41" s="144"/>
      <c r="M41" s="157"/>
    </row>
    <row r="42" spans="1:14" x14ac:dyDescent="0.25">
      <c r="A42" s="179" t="s">
        <v>201</v>
      </c>
      <c r="B42" s="180"/>
      <c r="C42" s="180"/>
      <c r="D42" s="171"/>
      <c r="E42" s="181"/>
      <c r="F42" s="171"/>
      <c r="G42" s="181"/>
      <c r="H42" s="171"/>
      <c r="I42" s="181"/>
      <c r="J42" s="171"/>
      <c r="K42" s="181"/>
      <c r="L42" s="171"/>
      <c r="M42" s="181"/>
    </row>
    <row r="43" spans="1:14" ht="15.75" thickBot="1" x14ac:dyDescent="0.3">
      <c r="A43" s="669" t="s">
        <v>161</v>
      </c>
      <c r="B43" s="670"/>
      <c r="C43" s="671"/>
      <c r="D43" s="118"/>
      <c r="E43" s="158" t="s">
        <v>162</v>
      </c>
      <c r="F43" s="118"/>
      <c r="G43" s="158" t="s">
        <v>163</v>
      </c>
      <c r="H43" s="118"/>
      <c r="I43" s="158" t="s">
        <v>164</v>
      </c>
      <c r="J43" s="118"/>
      <c r="K43" s="158" t="s">
        <v>165</v>
      </c>
      <c r="L43" s="159"/>
      <c r="M43" s="158" t="s">
        <v>187</v>
      </c>
    </row>
    <row r="44" spans="1:14" ht="15.75" customHeight="1" thickTop="1" x14ac:dyDescent="0.25">
      <c r="A44" s="573" t="s">
        <v>188</v>
      </c>
      <c r="B44" s="586"/>
      <c r="C44" s="672"/>
      <c r="D44" s="118"/>
      <c r="E44" s="582" t="s">
        <v>189</v>
      </c>
      <c r="F44" s="116" t="s">
        <v>168</v>
      </c>
      <c r="G44" s="673" t="s">
        <v>190</v>
      </c>
      <c r="H44" s="116" t="s">
        <v>170</v>
      </c>
      <c r="I44" s="673" t="s">
        <v>191</v>
      </c>
      <c r="J44" s="116" t="s">
        <v>168</v>
      </c>
      <c r="K44" s="673" t="s">
        <v>192</v>
      </c>
      <c r="L44" s="160" t="s">
        <v>170</v>
      </c>
      <c r="M44" s="673" t="s">
        <v>193</v>
      </c>
    </row>
    <row r="45" spans="1:14" x14ac:dyDescent="0.25">
      <c r="A45" s="576"/>
      <c r="B45" s="577"/>
      <c r="C45" s="578"/>
      <c r="D45" s="118"/>
      <c r="E45" s="583"/>
      <c r="F45" s="116"/>
      <c r="G45" s="674"/>
      <c r="H45" s="116"/>
      <c r="I45" s="674"/>
      <c r="J45" s="116"/>
      <c r="K45" s="674"/>
      <c r="L45" s="160"/>
      <c r="M45" s="674"/>
    </row>
    <row r="46" spans="1:14" ht="15.75" thickBot="1" x14ac:dyDescent="0.3">
      <c r="A46" s="579"/>
      <c r="B46" s="580"/>
      <c r="C46" s="581"/>
      <c r="D46" s="118"/>
      <c r="E46" s="584"/>
      <c r="F46" s="118"/>
      <c r="G46" s="675"/>
      <c r="H46" s="118"/>
      <c r="I46" s="675"/>
      <c r="J46" s="118"/>
      <c r="K46" s="675"/>
      <c r="L46" s="159"/>
      <c r="M46" s="675"/>
    </row>
    <row r="47" spans="1:14" ht="15.75" thickTop="1" x14ac:dyDescent="0.25">
      <c r="A47" s="168"/>
      <c r="B47" s="168"/>
      <c r="C47" s="168"/>
      <c r="D47" s="118"/>
      <c r="E47" s="168"/>
      <c r="F47" s="118"/>
      <c r="G47" s="168"/>
      <c r="H47" s="118"/>
      <c r="I47" s="168"/>
      <c r="J47" s="118"/>
      <c r="K47" s="168"/>
      <c r="L47" s="159"/>
      <c r="M47" s="168"/>
      <c r="N47" s="98"/>
    </row>
    <row r="48" spans="1:14" ht="23.25" x14ac:dyDescent="0.25">
      <c r="A48" s="209" t="s">
        <v>250</v>
      </c>
      <c r="B48" s="234">
        <v>1</v>
      </c>
      <c r="C48" s="211" t="s">
        <v>176</v>
      </c>
      <c r="D48" s="144"/>
      <c r="E48" s="235">
        <v>314789.48</v>
      </c>
      <c r="F48" s="157"/>
      <c r="G48" s="235">
        <v>0</v>
      </c>
      <c r="H48" s="157"/>
      <c r="I48" s="236">
        <v>314789.48</v>
      </c>
      <c r="J48" s="157"/>
      <c r="K48" s="236">
        <v>301637.32</v>
      </c>
      <c r="L48" s="157"/>
      <c r="M48" s="236">
        <f>I48-K48</f>
        <v>13152.159999999974</v>
      </c>
    </row>
    <row r="49" spans="1:14" ht="23.25" x14ac:dyDescent="0.25">
      <c r="A49" s="209" t="s">
        <v>251</v>
      </c>
      <c r="B49" s="222">
        <v>242</v>
      </c>
      <c r="C49" s="211" t="s">
        <v>176</v>
      </c>
      <c r="D49" s="144"/>
      <c r="E49" s="235">
        <v>0</v>
      </c>
      <c r="F49" s="157"/>
      <c r="G49" s="235">
        <v>0</v>
      </c>
      <c r="H49" s="157"/>
      <c r="I49" s="236">
        <v>0</v>
      </c>
      <c r="J49" s="157"/>
      <c r="K49" s="236">
        <v>0</v>
      </c>
      <c r="L49" s="157"/>
      <c r="M49" s="236">
        <f>I49-K49</f>
        <v>0</v>
      </c>
    </row>
    <row r="50" spans="1:14" ht="23.25" x14ac:dyDescent="0.25">
      <c r="A50" s="209" t="s">
        <v>252</v>
      </c>
      <c r="B50" s="222"/>
      <c r="C50" s="211" t="s">
        <v>176</v>
      </c>
      <c r="D50" s="144"/>
      <c r="E50" s="235">
        <v>58616.37</v>
      </c>
      <c r="F50" s="157"/>
      <c r="G50" s="235">
        <v>0</v>
      </c>
      <c r="H50" s="157"/>
      <c r="I50" s="236">
        <v>58616.37</v>
      </c>
      <c r="J50" s="157"/>
      <c r="K50" s="236">
        <v>71768.53</v>
      </c>
      <c r="L50" s="157"/>
      <c r="M50" s="236">
        <f>I50-K50</f>
        <v>-13152.159999999996</v>
      </c>
    </row>
    <row r="51" spans="1:14" ht="23.25" x14ac:dyDescent="0.25">
      <c r="A51" s="209" t="s">
        <v>253</v>
      </c>
      <c r="B51" s="222" t="s">
        <v>254</v>
      </c>
      <c r="C51" s="211" t="s">
        <v>176</v>
      </c>
      <c r="D51" s="144"/>
      <c r="E51" s="237">
        <v>0</v>
      </c>
      <c r="F51" s="157"/>
      <c r="G51" s="237">
        <v>0</v>
      </c>
      <c r="H51" s="157"/>
      <c r="I51" s="238">
        <v>0</v>
      </c>
      <c r="J51" s="157"/>
      <c r="K51" s="408">
        <v>0</v>
      </c>
      <c r="L51" s="157"/>
      <c r="M51" s="408">
        <f>I51-K51</f>
        <v>0</v>
      </c>
    </row>
    <row r="52" spans="1:14" x14ac:dyDescent="0.25">
      <c r="A52" s="144"/>
      <c r="B52" s="162"/>
      <c r="C52" s="144"/>
      <c r="D52" s="161"/>
      <c r="E52" s="131"/>
      <c r="F52" s="157"/>
      <c r="G52" s="131"/>
      <c r="H52" s="161"/>
      <c r="I52" s="131"/>
      <c r="J52" s="161"/>
      <c r="K52" s="163"/>
      <c r="L52" s="161"/>
      <c r="M52" s="131"/>
    </row>
    <row r="53" spans="1:14" x14ac:dyDescent="0.25">
      <c r="A53" s="144"/>
      <c r="B53" s="144"/>
      <c r="C53" s="144"/>
      <c r="D53" s="144"/>
      <c r="E53" s="157"/>
      <c r="F53" s="157"/>
      <c r="G53" s="676" t="s">
        <v>195</v>
      </c>
      <c r="H53" s="157"/>
      <c r="I53" s="678">
        <f>SUM(I48:I51)</f>
        <v>373405.85</v>
      </c>
      <c r="J53" s="157"/>
      <c r="K53" s="678">
        <f>SUM(K48:K51)</f>
        <v>373405.85</v>
      </c>
      <c r="L53" s="157"/>
      <c r="M53" s="678">
        <f>SUM(M48:M51)</f>
        <v>-2.1827872842550278E-11</v>
      </c>
    </row>
    <row r="54" spans="1:14" x14ac:dyDescent="0.25">
      <c r="A54" s="164"/>
      <c r="B54" s="144"/>
      <c r="C54" s="680"/>
      <c r="D54" s="665"/>
      <c r="E54" s="665"/>
      <c r="F54" s="665"/>
      <c r="G54" s="677"/>
      <c r="H54" s="157"/>
      <c r="I54" s="679"/>
      <c r="J54" s="157"/>
      <c r="K54" s="679"/>
      <c r="L54" s="157"/>
      <c r="M54" s="679"/>
    </row>
    <row r="55" spans="1:14" x14ac:dyDescent="0.25">
      <c r="A55" s="144"/>
      <c r="B55" s="144"/>
      <c r="C55" s="144"/>
      <c r="D55" s="144"/>
      <c r="E55" s="157"/>
      <c r="F55" s="144"/>
      <c r="G55" s="157"/>
      <c r="H55" s="144"/>
      <c r="I55" s="157"/>
      <c r="J55" s="144"/>
      <c r="K55" s="157"/>
      <c r="L55" s="144"/>
      <c r="M55" s="157"/>
    </row>
    <row r="56" spans="1:14" x14ac:dyDescent="0.25">
      <c r="A56" s="664"/>
      <c r="B56" s="665"/>
      <c r="C56" s="665"/>
      <c r="D56" s="665"/>
      <c r="E56" s="665"/>
      <c r="F56" s="144"/>
      <c r="G56" s="157"/>
      <c r="H56" s="144"/>
      <c r="I56" s="165"/>
      <c r="J56" s="144"/>
      <c r="K56" s="166" t="s">
        <v>196</v>
      </c>
      <c r="L56" s="144"/>
      <c r="M56" s="239"/>
    </row>
    <row r="57" spans="1:14" x14ac:dyDescent="0.25">
      <c r="A57" s="144"/>
      <c r="B57" s="144"/>
      <c r="C57" s="144"/>
      <c r="D57" s="144"/>
      <c r="E57" s="157"/>
      <c r="F57" s="144"/>
      <c r="G57" s="157"/>
      <c r="H57" s="144"/>
      <c r="I57" s="157"/>
      <c r="J57" s="144"/>
      <c r="K57" s="157"/>
      <c r="L57" s="144"/>
      <c r="M57" s="157"/>
    </row>
    <row r="58" spans="1:14" x14ac:dyDescent="0.25">
      <c r="A58" s="155" t="s">
        <v>202</v>
      </c>
      <c r="B58" s="156"/>
      <c r="C58" s="156"/>
      <c r="D58" s="144"/>
      <c r="E58" s="157"/>
      <c r="F58" s="144"/>
      <c r="G58" s="157"/>
      <c r="H58" s="144"/>
      <c r="I58" s="157"/>
      <c r="J58" s="144"/>
      <c r="K58" s="157"/>
      <c r="L58" s="144"/>
      <c r="M58" s="157"/>
    </row>
    <row r="59" spans="1:14" ht="15.75" thickBot="1" x14ac:dyDescent="0.3">
      <c r="A59" s="669" t="s">
        <v>161</v>
      </c>
      <c r="B59" s="670"/>
      <c r="C59" s="671"/>
      <c r="D59" s="118"/>
      <c r="E59" s="158" t="s">
        <v>162</v>
      </c>
      <c r="F59" s="118"/>
      <c r="G59" s="158" t="s">
        <v>163</v>
      </c>
      <c r="H59" s="118"/>
      <c r="I59" s="158" t="s">
        <v>164</v>
      </c>
      <c r="J59" s="118"/>
      <c r="K59" s="158" t="s">
        <v>165</v>
      </c>
      <c r="L59" s="159"/>
      <c r="M59" s="158" t="s">
        <v>187</v>
      </c>
    </row>
    <row r="60" spans="1:14" ht="15.75" customHeight="1" thickTop="1" x14ac:dyDescent="0.25">
      <c r="A60" s="573" t="s">
        <v>188</v>
      </c>
      <c r="B60" s="586"/>
      <c r="C60" s="672"/>
      <c r="D60" s="118"/>
      <c r="E60" s="582" t="s">
        <v>189</v>
      </c>
      <c r="F60" s="116" t="s">
        <v>168</v>
      </c>
      <c r="G60" s="673" t="s">
        <v>190</v>
      </c>
      <c r="H60" s="116" t="s">
        <v>170</v>
      </c>
      <c r="I60" s="673" t="s">
        <v>191</v>
      </c>
      <c r="J60" s="116" t="s">
        <v>168</v>
      </c>
      <c r="K60" s="673" t="s">
        <v>192</v>
      </c>
      <c r="L60" s="160" t="s">
        <v>170</v>
      </c>
      <c r="M60" s="673" t="s">
        <v>249</v>
      </c>
    </row>
    <row r="61" spans="1:14" x14ac:dyDescent="0.25">
      <c r="A61" s="576"/>
      <c r="B61" s="577"/>
      <c r="C61" s="578"/>
      <c r="D61" s="118"/>
      <c r="E61" s="583"/>
      <c r="F61" s="116"/>
      <c r="G61" s="674"/>
      <c r="H61" s="116"/>
      <c r="I61" s="674"/>
      <c r="J61" s="116"/>
      <c r="K61" s="674"/>
      <c r="L61" s="160"/>
      <c r="M61" s="674"/>
    </row>
    <row r="62" spans="1:14" ht="15.75" thickBot="1" x14ac:dyDescent="0.3">
      <c r="A62" s="579"/>
      <c r="B62" s="580"/>
      <c r="C62" s="581"/>
      <c r="D62" s="118"/>
      <c r="E62" s="584"/>
      <c r="F62" s="118"/>
      <c r="G62" s="675"/>
      <c r="H62" s="118"/>
      <c r="I62" s="675"/>
      <c r="J62" s="118"/>
      <c r="K62" s="675"/>
      <c r="L62" s="159"/>
      <c r="M62" s="675"/>
    </row>
    <row r="63" spans="1:14" ht="15.75" thickTop="1" x14ac:dyDescent="0.25">
      <c r="A63" s="168"/>
      <c r="B63" s="168"/>
      <c r="C63" s="168"/>
      <c r="D63" s="118"/>
      <c r="E63" s="168"/>
      <c r="F63" s="118"/>
      <c r="G63" s="168"/>
      <c r="H63" s="118"/>
      <c r="I63" s="168"/>
      <c r="J63" s="118"/>
      <c r="K63" s="168"/>
      <c r="L63" s="159"/>
      <c r="M63" s="168"/>
      <c r="N63" s="98"/>
    </row>
    <row r="64" spans="1:14" ht="23.25" x14ac:dyDescent="0.25">
      <c r="A64" s="209" t="s">
        <v>255</v>
      </c>
      <c r="B64" s="234">
        <v>1</v>
      </c>
      <c r="C64" s="211" t="s">
        <v>176</v>
      </c>
      <c r="D64" s="144"/>
      <c r="E64" s="235">
        <v>356019.81</v>
      </c>
      <c r="F64" s="157"/>
      <c r="G64" s="235">
        <v>0</v>
      </c>
      <c r="H64" s="157"/>
      <c r="I64" s="236">
        <v>356019.81</v>
      </c>
      <c r="J64" s="157"/>
      <c r="K64" s="236">
        <v>333772.73</v>
      </c>
      <c r="L64" s="157"/>
      <c r="M64" s="236">
        <f>I64-K64</f>
        <v>22247.080000000016</v>
      </c>
    </row>
    <row r="65" spans="1:13" ht="23.25" x14ac:dyDescent="0.25">
      <c r="A65" s="209" t="s">
        <v>251</v>
      </c>
      <c r="B65" s="222">
        <v>242</v>
      </c>
      <c r="C65" s="211" t="s">
        <v>176</v>
      </c>
      <c r="D65" s="144"/>
      <c r="E65" s="235">
        <v>0</v>
      </c>
      <c r="F65" s="157"/>
      <c r="G65" s="235">
        <v>0</v>
      </c>
      <c r="H65" s="157"/>
      <c r="I65" s="236">
        <v>0</v>
      </c>
      <c r="J65" s="157"/>
      <c r="K65" s="236">
        <v>0</v>
      </c>
      <c r="L65" s="157"/>
      <c r="M65" s="236">
        <f>I65-K65</f>
        <v>0</v>
      </c>
    </row>
    <row r="66" spans="1:13" ht="23.25" x14ac:dyDescent="0.25">
      <c r="A66" s="209" t="s">
        <v>252</v>
      </c>
      <c r="B66" s="222"/>
      <c r="C66" s="211" t="s">
        <v>176</v>
      </c>
      <c r="D66" s="144"/>
      <c r="E66" s="235">
        <v>57167.43</v>
      </c>
      <c r="F66" s="157"/>
      <c r="G66" s="235">
        <v>0</v>
      </c>
      <c r="H66" s="157"/>
      <c r="I66" s="236">
        <v>57167.43</v>
      </c>
      <c r="J66" s="157"/>
      <c r="K66" s="236">
        <v>79414.509999999995</v>
      </c>
      <c r="L66" s="157"/>
      <c r="M66" s="236">
        <f>I66-K66</f>
        <v>-22247.079999999994</v>
      </c>
    </row>
    <row r="67" spans="1:13" ht="23.25" x14ac:dyDescent="0.25">
      <c r="A67" s="209" t="s">
        <v>253</v>
      </c>
      <c r="B67" s="222" t="s">
        <v>254</v>
      </c>
      <c r="C67" s="211" t="s">
        <v>176</v>
      </c>
      <c r="D67" s="144"/>
      <c r="E67" s="237"/>
      <c r="F67" s="157"/>
      <c r="G67" s="237"/>
      <c r="H67" s="157"/>
      <c r="I67" s="238"/>
      <c r="J67" s="157"/>
      <c r="K67" s="408"/>
      <c r="L67" s="157"/>
      <c r="M67" s="408">
        <f>I67-K67</f>
        <v>0</v>
      </c>
    </row>
    <row r="68" spans="1:13" x14ac:dyDescent="0.25">
      <c r="A68" s="144"/>
      <c r="B68" s="162"/>
      <c r="C68" s="144"/>
      <c r="D68" s="161"/>
      <c r="E68" s="131"/>
      <c r="F68" s="157"/>
      <c r="G68" s="131"/>
      <c r="H68" s="161"/>
      <c r="I68" s="131"/>
      <c r="J68" s="161"/>
      <c r="K68" s="163"/>
      <c r="L68" s="161"/>
      <c r="M68" s="131"/>
    </row>
    <row r="69" spans="1:13" x14ac:dyDescent="0.25">
      <c r="A69" s="164"/>
      <c r="B69" s="144"/>
      <c r="C69" s="144"/>
      <c r="D69" s="144"/>
      <c r="E69" s="157"/>
      <c r="F69" s="157"/>
      <c r="G69" s="676" t="s">
        <v>195</v>
      </c>
      <c r="H69" s="157"/>
      <c r="I69" s="678">
        <f>SUM(I64:I67)</f>
        <v>413187.24</v>
      </c>
      <c r="J69" s="157"/>
      <c r="K69" s="678">
        <f>SUM(K64:K67)</f>
        <v>413187.24</v>
      </c>
      <c r="L69" s="157"/>
      <c r="M69" s="678">
        <f>SUM(M64:M67)</f>
        <v>2.1827872842550278E-11</v>
      </c>
    </row>
    <row r="70" spans="1:13" x14ac:dyDescent="0.25">
      <c r="A70" s="164" t="s">
        <v>203</v>
      </c>
      <c r="B70" s="144"/>
      <c r="C70" s="683"/>
      <c r="D70" s="650"/>
      <c r="E70" s="650"/>
      <c r="F70" s="650"/>
      <c r="G70" s="677"/>
      <c r="H70" s="157"/>
      <c r="I70" s="679"/>
      <c r="J70" s="157"/>
      <c r="K70" s="679"/>
      <c r="L70" s="157"/>
      <c r="M70" s="679"/>
    </row>
    <row r="71" spans="1:13" x14ac:dyDescent="0.25">
      <c r="A71" s="129" t="s">
        <v>204</v>
      </c>
      <c r="B71" s="182"/>
      <c r="C71" s="182"/>
      <c r="D71" s="182"/>
      <c r="E71" s="182"/>
      <c r="F71" s="144"/>
      <c r="G71" s="157"/>
      <c r="H71" s="144"/>
      <c r="I71" s="165"/>
      <c r="J71" s="144"/>
      <c r="K71" s="166" t="s">
        <v>196</v>
      </c>
      <c r="L71" s="144"/>
      <c r="M71" s="239"/>
    </row>
    <row r="72" spans="1:13" x14ac:dyDescent="0.25">
      <c r="A72" s="183" t="s">
        <v>205</v>
      </c>
      <c r="B72" s="144"/>
      <c r="C72" s="144"/>
      <c r="D72" s="144"/>
      <c r="E72" s="144"/>
      <c r="F72" s="144"/>
      <c r="G72" s="157"/>
      <c r="H72" s="144"/>
      <c r="I72" s="165"/>
      <c r="J72" s="144"/>
      <c r="K72" s="184"/>
      <c r="L72" s="144"/>
      <c r="M72" s="157"/>
    </row>
    <row r="73" spans="1:13" x14ac:dyDescent="0.25">
      <c r="A73" s="183"/>
      <c r="B73" s="144"/>
      <c r="C73" s="144"/>
      <c r="D73" s="144"/>
      <c r="E73" s="144"/>
      <c r="F73" s="144"/>
      <c r="G73" s="157"/>
      <c r="H73" s="144"/>
      <c r="I73" s="165"/>
      <c r="J73" s="144"/>
      <c r="K73" s="184"/>
      <c r="L73" s="144"/>
      <c r="M73" s="157"/>
    </row>
    <row r="74" spans="1:13" x14ac:dyDescent="0.25">
      <c r="A74" s="185"/>
      <c r="B74" s="171"/>
      <c r="C74" s="171"/>
      <c r="D74" s="171"/>
      <c r="E74" s="181"/>
      <c r="F74" s="171"/>
      <c r="G74" s="171"/>
      <c r="H74" s="171"/>
      <c r="I74" s="171"/>
      <c r="J74" s="171"/>
      <c r="K74" s="171"/>
      <c r="L74" s="181"/>
      <c r="M74" s="186"/>
    </row>
    <row r="75" spans="1:13" x14ac:dyDescent="0.25">
      <c r="A75" s="187" t="s">
        <v>206</v>
      </c>
      <c r="B75" s="118"/>
      <c r="C75" s="118"/>
      <c r="D75" s="144"/>
      <c r="E75" s="157"/>
      <c r="F75" s="144"/>
      <c r="G75" s="144"/>
      <c r="H75" s="144"/>
      <c r="I75" s="144"/>
      <c r="J75" s="144"/>
      <c r="K75" s="144"/>
      <c r="L75" s="157"/>
      <c r="M75" s="188"/>
    </row>
    <row r="76" spans="1:13" x14ac:dyDescent="0.25">
      <c r="A76" s="189" t="s">
        <v>207</v>
      </c>
      <c r="B76" s="118"/>
      <c r="C76" s="118"/>
      <c r="D76" s="144"/>
      <c r="E76" s="157"/>
      <c r="F76" s="144"/>
      <c r="G76" s="144"/>
      <c r="H76" s="144"/>
      <c r="I76" s="144"/>
      <c r="J76" s="144"/>
      <c r="K76" s="144"/>
      <c r="L76" s="157"/>
      <c r="M76" s="188"/>
    </row>
    <row r="77" spans="1:13" x14ac:dyDescent="0.25">
      <c r="A77" s="190"/>
      <c r="B77" s="144"/>
      <c r="C77" s="144"/>
      <c r="D77" s="144"/>
      <c r="E77" s="157"/>
      <c r="F77" s="144"/>
      <c r="G77" s="144"/>
      <c r="H77" s="144"/>
      <c r="I77" s="144"/>
      <c r="J77" s="144"/>
      <c r="K77" s="144"/>
      <c r="L77" s="157"/>
      <c r="M77" s="188"/>
    </row>
    <row r="78" spans="1:13" x14ac:dyDescent="0.25">
      <c r="A78" s="684"/>
      <c r="B78" s="682"/>
      <c r="C78" s="682"/>
      <c r="D78" s="682"/>
      <c r="E78" s="682"/>
      <c r="F78" s="682"/>
      <c r="G78" s="682"/>
      <c r="H78" s="144"/>
      <c r="I78" s="191"/>
      <c r="J78" s="144"/>
      <c r="K78" s="144"/>
      <c r="L78" s="157"/>
      <c r="M78" s="188"/>
    </row>
    <row r="79" spans="1:13" x14ac:dyDescent="0.25">
      <c r="A79" s="192" t="s">
        <v>208</v>
      </c>
      <c r="B79" s="193"/>
      <c r="C79" s="193"/>
      <c r="D79" s="193"/>
      <c r="E79" s="193"/>
      <c r="F79" s="193"/>
      <c r="G79" s="193"/>
      <c r="H79" s="144"/>
      <c r="I79" s="116" t="s">
        <v>209</v>
      </c>
      <c r="J79" s="144"/>
      <c r="K79" s="144"/>
      <c r="L79" s="157"/>
      <c r="M79" s="188"/>
    </row>
    <row r="80" spans="1:13" x14ac:dyDescent="0.25">
      <c r="A80" s="190"/>
      <c r="B80" s="144"/>
      <c r="C80" s="144"/>
      <c r="D80" s="144"/>
      <c r="E80" s="157"/>
      <c r="F80" s="144"/>
      <c r="G80" s="144"/>
      <c r="H80" s="144"/>
      <c r="I80" s="144"/>
      <c r="J80" s="144"/>
      <c r="K80" s="144"/>
      <c r="L80" s="157"/>
      <c r="M80" s="188"/>
    </row>
    <row r="81" spans="1:13" x14ac:dyDescent="0.25">
      <c r="A81" s="685"/>
      <c r="B81" s="682"/>
      <c r="C81" s="682"/>
      <c r="D81" s="682"/>
      <c r="E81" s="682"/>
      <c r="F81" s="682"/>
      <c r="G81" s="682"/>
      <c r="H81" s="144"/>
      <c r="I81" s="144"/>
      <c r="J81" s="144"/>
      <c r="K81" s="144"/>
      <c r="L81" s="157"/>
      <c r="M81" s="188"/>
    </row>
    <row r="82" spans="1:13" x14ac:dyDescent="0.25">
      <c r="A82" s="194" t="s">
        <v>210</v>
      </c>
      <c r="B82" s="195"/>
      <c r="C82" s="195"/>
      <c r="D82" s="195"/>
      <c r="E82" s="195"/>
      <c r="F82" s="195"/>
      <c r="G82" s="195"/>
      <c r="H82" s="173"/>
      <c r="I82" s="173"/>
      <c r="J82" s="173"/>
      <c r="K82" s="173"/>
      <c r="L82" s="167"/>
      <c r="M82" s="196"/>
    </row>
    <row r="83" spans="1:13" x14ac:dyDescent="0.25">
      <c r="A83" s="182"/>
      <c r="B83" s="182"/>
      <c r="C83" s="182"/>
      <c r="D83" s="182"/>
      <c r="E83" s="203"/>
      <c r="F83" s="182"/>
      <c r="G83" s="182"/>
      <c r="H83" s="182"/>
      <c r="I83" s="182"/>
      <c r="J83" s="182"/>
      <c r="K83" s="182"/>
      <c r="L83" s="203"/>
      <c r="M83" s="182"/>
    </row>
  </sheetData>
  <mergeCells count="60">
    <mergeCell ref="C70:F70"/>
    <mergeCell ref="A78:G78"/>
    <mergeCell ref="A81:G81"/>
    <mergeCell ref="K60:K62"/>
    <mergeCell ref="M60:M62"/>
    <mergeCell ref="G69:G70"/>
    <mergeCell ref="I69:I70"/>
    <mergeCell ref="K69:K70"/>
    <mergeCell ref="M69:M70"/>
    <mergeCell ref="I60:I62"/>
    <mergeCell ref="A56:E56"/>
    <mergeCell ref="A59:C59"/>
    <mergeCell ref="A60:C62"/>
    <mergeCell ref="E60:E62"/>
    <mergeCell ref="G60:G62"/>
    <mergeCell ref="M44:M46"/>
    <mergeCell ref="G53:G54"/>
    <mergeCell ref="I53:I54"/>
    <mergeCell ref="K53:K54"/>
    <mergeCell ref="M53:M54"/>
    <mergeCell ref="I44:I46"/>
    <mergeCell ref="K44:K46"/>
    <mergeCell ref="C54:F54"/>
    <mergeCell ref="A43:C43"/>
    <mergeCell ref="A44:C46"/>
    <mergeCell ref="E44:E46"/>
    <mergeCell ref="G44:G46"/>
    <mergeCell ref="A40:E40"/>
    <mergeCell ref="M22:M24"/>
    <mergeCell ref="G31:G32"/>
    <mergeCell ref="I31:I32"/>
    <mergeCell ref="K31:K32"/>
    <mergeCell ref="M31:M32"/>
    <mergeCell ref="C32:F32"/>
    <mergeCell ref="K22:K24"/>
    <mergeCell ref="B35:F35"/>
    <mergeCell ref="B36:F36"/>
    <mergeCell ref="B37:F37"/>
    <mergeCell ref="B38:F38"/>
    <mergeCell ref="B39:F39"/>
    <mergeCell ref="A21:C21"/>
    <mergeCell ref="A22:C24"/>
    <mergeCell ref="E22:E24"/>
    <mergeCell ref="G22:G24"/>
    <mergeCell ref="I22:I24"/>
    <mergeCell ref="A18:E18"/>
    <mergeCell ref="A2:M2"/>
    <mergeCell ref="A3:M3"/>
    <mergeCell ref="A5:C5"/>
    <mergeCell ref="A6:C8"/>
    <mergeCell ref="E6:E8"/>
    <mergeCell ref="G6:G8"/>
    <mergeCell ref="I6:I8"/>
    <mergeCell ref="K6:K8"/>
    <mergeCell ref="M6:M8"/>
    <mergeCell ref="G15:G16"/>
    <mergeCell ref="I15:I16"/>
    <mergeCell ref="K15:K16"/>
    <mergeCell ref="M15:M16"/>
    <mergeCell ref="C16:F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F39"/>
  <sheetViews>
    <sheetView workbookViewId="0">
      <pane xSplit="12" ySplit="23" topLeftCell="M39" activePane="bottomRight" state="frozen"/>
      <selection activeCell="E15" sqref="E15:E19"/>
      <selection pane="topRight" activeCell="E15" sqref="E15:E19"/>
      <selection pane="bottomLeft" activeCell="E15" sqref="E15:E19"/>
      <selection pane="bottomRight" activeCell="M32" sqref="M32"/>
    </sheetView>
  </sheetViews>
  <sheetFormatPr defaultRowHeight="15" x14ac:dyDescent="0.25"/>
  <cols>
    <col min="1" max="1" width="4.7109375" customWidth="1"/>
    <col min="2" max="2" width="11.42578125" customWidth="1"/>
    <col min="3" max="3" width="10" customWidth="1"/>
    <col min="4" max="4" width="15.140625" customWidth="1"/>
    <col min="5" max="5" width="23.7109375" customWidth="1"/>
    <col min="6" max="6" width="18" customWidth="1"/>
  </cols>
  <sheetData>
    <row r="1" spans="1:6" x14ac:dyDescent="0.25">
      <c r="A1" s="97"/>
      <c r="B1" s="97"/>
      <c r="C1" s="97"/>
      <c r="D1" s="97"/>
      <c r="E1" s="97"/>
      <c r="F1" s="97"/>
    </row>
    <row r="2" spans="1:6" ht="15.75" x14ac:dyDescent="0.25">
      <c r="A2" s="197"/>
      <c r="B2" s="197"/>
      <c r="C2" s="197"/>
      <c r="D2" s="197"/>
      <c r="E2" s="197"/>
      <c r="F2" s="197"/>
    </row>
    <row r="3" spans="1:6" ht="15.75" x14ac:dyDescent="0.25">
      <c r="A3" s="197" t="s">
        <v>211</v>
      </c>
      <c r="B3" s="197"/>
      <c r="C3" s="197"/>
      <c r="D3" s="197"/>
      <c r="E3" s="197"/>
      <c r="F3" s="197"/>
    </row>
    <row r="4" spans="1:6" ht="15.75" x14ac:dyDescent="0.25">
      <c r="A4" s="197" t="s">
        <v>212</v>
      </c>
      <c r="B4" s="197"/>
      <c r="C4" s="197"/>
      <c r="D4" s="197"/>
      <c r="E4" s="197"/>
      <c r="F4" s="197"/>
    </row>
    <row r="8" spans="1:6" x14ac:dyDescent="0.25">
      <c r="B8" s="199" t="s">
        <v>213</v>
      </c>
      <c r="F8" s="200" t="s">
        <v>214</v>
      </c>
    </row>
    <row r="9" spans="1:6" x14ac:dyDescent="0.25">
      <c r="B9" t="s">
        <v>215</v>
      </c>
      <c r="D9" s="131">
        <f>SUM('[1]HE, Section I'!K20:M21)</f>
        <v>225953331</v>
      </c>
      <c r="F9" s="201">
        <f>SUM('[1]HE, Section I'!O20:O21)</f>
        <v>0.69204562722231233</v>
      </c>
    </row>
    <row r="10" spans="1:6" x14ac:dyDescent="0.25">
      <c r="B10" t="s">
        <v>216</v>
      </c>
      <c r="D10" s="131">
        <f>SUM('[1]HE, Section I'!K33:M33)</f>
        <v>100547295.70999999</v>
      </c>
      <c r="F10" s="201">
        <f>SUM('[1]HE, Section I'!O33:O34)</f>
        <v>0.30795437277768772</v>
      </c>
    </row>
    <row r="11" spans="1:6" x14ac:dyDescent="0.25">
      <c r="B11" t="s">
        <v>178</v>
      </c>
      <c r="D11" s="131">
        <f>SUM('[1]HE, Section I'!K44:M45)</f>
        <v>0</v>
      </c>
      <c r="F11" s="201">
        <f>SUM('[1]HE, Section I'!O44:O45)</f>
        <v>0</v>
      </c>
    </row>
    <row r="12" spans="1:6" x14ac:dyDescent="0.25">
      <c r="B12" t="s">
        <v>194</v>
      </c>
      <c r="D12" s="131">
        <f>SUM('[1]HE, Section I'!K57:M57)</f>
        <v>0</v>
      </c>
      <c r="F12" s="201">
        <f>SUM('[1]HE, Section I'!O57:O58)</f>
        <v>0</v>
      </c>
    </row>
    <row r="13" spans="1:6" x14ac:dyDescent="0.25">
      <c r="C13" s="199" t="s">
        <v>65</v>
      </c>
      <c r="D13" s="131">
        <f>SUM(D9:D12)</f>
        <v>326500626.70999998</v>
      </c>
      <c r="F13" s="201">
        <f>SUM(F9:F12)</f>
        <v>1</v>
      </c>
    </row>
    <row r="16" spans="1:6" x14ac:dyDescent="0.25">
      <c r="B16" s="199" t="s">
        <v>217</v>
      </c>
    </row>
    <row r="17" spans="2:6" x14ac:dyDescent="0.25">
      <c r="B17" t="s">
        <v>218</v>
      </c>
      <c r="D17" s="131">
        <f>SUM('[1]HE, Section II'!I15:I16)</f>
        <v>19658555.75</v>
      </c>
    </row>
    <row r="18" spans="2:6" x14ac:dyDescent="0.25">
      <c r="B18" t="s">
        <v>219</v>
      </c>
      <c r="D18" s="131">
        <f>SUM('[1]HE, Section II'!I31:I32)</f>
        <v>33503310.609999999</v>
      </c>
    </row>
    <row r="19" spans="2:6" x14ac:dyDescent="0.25">
      <c r="B19" t="s">
        <v>220</v>
      </c>
      <c r="D19" s="131">
        <f>SUM('[1]HE, Section II'!I53:I54)</f>
        <v>6738879.25</v>
      </c>
    </row>
    <row r="20" spans="2:6" x14ac:dyDescent="0.25">
      <c r="B20" t="s">
        <v>221</v>
      </c>
      <c r="D20" s="131">
        <f>SUM('[1]HE, Section II'!I69:I70)</f>
        <v>11535256.27</v>
      </c>
    </row>
    <row r="21" spans="2:6" x14ac:dyDescent="0.25">
      <c r="C21" s="199" t="s">
        <v>65</v>
      </c>
      <c r="D21" s="131">
        <f>SUM(D17:D20)</f>
        <v>71436001.879999995</v>
      </c>
    </row>
    <row r="24" spans="2:6" x14ac:dyDescent="0.25">
      <c r="B24" s="199" t="s">
        <v>222</v>
      </c>
    </row>
    <row r="25" spans="2:6" x14ac:dyDescent="0.25">
      <c r="C25" t="s">
        <v>223</v>
      </c>
      <c r="D25" s="202">
        <f>D21*F10</f>
        <v>21999029.152701121</v>
      </c>
    </row>
    <row r="26" spans="2:6" x14ac:dyDescent="0.25">
      <c r="C26" t="s">
        <v>194</v>
      </c>
      <c r="D26" s="202">
        <f>D21*F12</f>
        <v>0</v>
      </c>
    </row>
    <row r="27" spans="2:6" x14ac:dyDescent="0.25">
      <c r="C27" s="199" t="s">
        <v>65</v>
      </c>
      <c r="D27" s="203">
        <f>SUM(D25:D26)</f>
        <v>21999029.152701121</v>
      </c>
    </row>
    <row r="30" spans="2:6" x14ac:dyDescent="0.25">
      <c r="B30" s="199" t="s">
        <v>224</v>
      </c>
      <c r="F30" s="199" t="s">
        <v>225</v>
      </c>
    </row>
    <row r="31" spans="2:6" x14ac:dyDescent="0.25">
      <c r="B31" t="s">
        <v>215</v>
      </c>
      <c r="D31" s="131">
        <f>D9</f>
        <v>225953331</v>
      </c>
      <c r="F31" s="201">
        <f>D31/D35</f>
        <v>0.74204317091466732</v>
      </c>
    </row>
    <row r="32" spans="2:6" x14ac:dyDescent="0.25">
      <c r="B32" t="s">
        <v>216</v>
      </c>
      <c r="D32" s="131">
        <f>D10-D25</f>
        <v>78548266.557298869</v>
      </c>
      <c r="F32" s="201">
        <f>D32/D35</f>
        <v>0.25795682908533257</v>
      </c>
    </row>
    <row r="33" spans="1:6" x14ac:dyDescent="0.25">
      <c r="B33" t="s">
        <v>178</v>
      </c>
      <c r="D33" s="131">
        <f>D11</f>
        <v>0</v>
      </c>
      <c r="F33" s="201">
        <f>D33/D35</f>
        <v>0</v>
      </c>
    </row>
    <row r="34" spans="1:6" x14ac:dyDescent="0.25">
      <c r="B34" t="s">
        <v>194</v>
      </c>
      <c r="D34" s="131">
        <f>D12-D26</f>
        <v>0</v>
      </c>
      <c r="F34" s="201">
        <f>D34/D35</f>
        <v>0</v>
      </c>
    </row>
    <row r="35" spans="1:6" x14ac:dyDescent="0.25">
      <c r="C35" s="199" t="s">
        <v>65</v>
      </c>
      <c r="D35" s="202">
        <f>SUM(D31:D34)</f>
        <v>304501597.5572989</v>
      </c>
      <c r="F35" s="201">
        <f>SUM(F31:F34)</f>
        <v>0.99999999999999989</v>
      </c>
    </row>
    <row r="36" spans="1:6" x14ac:dyDescent="0.25">
      <c r="C36" s="199"/>
      <c r="D36" s="131"/>
      <c r="F36" s="201"/>
    </row>
    <row r="37" spans="1:6" x14ac:dyDescent="0.25">
      <c r="C37" s="199"/>
      <c r="D37" s="131"/>
      <c r="F37" s="201"/>
    </row>
    <row r="38" spans="1:6" x14ac:dyDescent="0.25">
      <c r="C38" s="199"/>
      <c r="D38" s="131"/>
      <c r="F38" s="204"/>
    </row>
    <row r="39" spans="1:6" x14ac:dyDescent="0.25">
      <c r="A39" s="205" t="s">
        <v>204</v>
      </c>
      <c r="B39" s="198"/>
      <c r="C39" s="198"/>
      <c r="D39" s="198"/>
      <c r="E39" s="198"/>
      <c r="F39" s="19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R58"/>
  <sheetViews>
    <sheetView workbookViewId="0">
      <selection activeCell="A44" sqref="A44:R44"/>
    </sheetView>
  </sheetViews>
  <sheetFormatPr defaultRowHeight="15" x14ac:dyDescent="0.25"/>
  <cols>
    <col min="1" max="1" width="30.7109375" bestFit="1" customWidth="1"/>
    <col min="18" max="18" width="60.28515625" customWidth="1"/>
  </cols>
  <sheetData>
    <row r="1" spans="1:18" ht="49.5" customHeight="1" x14ac:dyDescent="0.25">
      <c r="A1" s="686" t="s">
        <v>89</v>
      </c>
      <c r="B1" s="687"/>
      <c r="C1" s="687"/>
      <c r="D1" s="687"/>
      <c r="E1" s="687"/>
      <c r="F1" s="687"/>
      <c r="G1" s="687"/>
      <c r="H1" s="687"/>
      <c r="I1" s="687"/>
      <c r="J1" s="687"/>
      <c r="K1" s="687"/>
      <c r="L1" s="687"/>
      <c r="M1" s="687"/>
      <c r="N1" s="687"/>
      <c r="O1" s="687"/>
      <c r="P1" s="687"/>
      <c r="Q1" s="687"/>
      <c r="R1" s="688"/>
    </row>
    <row r="2" spans="1:18" x14ac:dyDescent="0.25">
      <c r="A2" s="5" t="s">
        <v>90</v>
      </c>
      <c r="B2" s="692" t="s">
        <v>99</v>
      </c>
      <c r="C2" s="693"/>
      <c r="D2" s="693"/>
      <c r="E2" s="693"/>
      <c r="F2" s="693"/>
      <c r="G2" s="693"/>
      <c r="H2" s="693"/>
      <c r="I2" s="693"/>
      <c r="J2" s="693"/>
      <c r="K2" s="693"/>
      <c r="L2" s="693"/>
      <c r="M2" s="693"/>
      <c r="N2" s="693"/>
      <c r="O2" s="693"/>
      <c r="P2" s="693"/>
      <c r="Q2" s="693"/>
      <c r="R2" s="694"/>
    </row>
    <row r="3" spans="1:18" x14ac:dyDescent="0.25">
      <c r="A3" s="4"/>
      <c r="B3" s="689" t="s">
        <v>348</v>
      </c>
      <c r="C3" s="690"/>
      <c r="D3" s="690"/>
      <c r="E3" s="690"/>
      <c r="F3" s="690"/>
      <c r="G3" s="690"/>
      <c r="H3" s="690"/>
      <c r="I3" s="690"/>
      <c r="J3" s="690"/>
      <c r="K3" s="690"/>
      <c r="L3" s="690"/>
      <c r="M3" s="690"/>
      <c r="N3" s="690"/>
      <c r="O3" s="690"/>
      <c r="P3" s="690"/>
      <c r="Q3" s="690"/>
      <c r="R3" s="691"/>
    </row>
    <row r="4" spans="1:18" x14ac:dyDescent="0.25">
      <c r="A4" s="4"/>
      <c r="B4" s="689" t="s">
        <v>91</v>
      </c>
      <c r="C4" s="690"/>
      <c r="D4" s="690"/>
      <c r="E4" s="690"/>
      <c r="F4" s="690"/>
      <c r="G4" s="690"/>
      <c r="H4" s="690"/>
      <c r="I4" s="690"/>
      <c r="J4" s="690"/>
      <c r="K4" s="690"/>
      <c r="L4" s="690"/>
      <c r="M4" s="690"/>
      <c r="N4" s="690"/>
      <c r="O4" s="690"/>
      <c r="P4" s="690"/>
      <c r="Q4" s="690"/>
      <c r="R4" s="691"/>
    </row>
    <row r="5" spans="1:18" ht="15" customHeight="1" x14ac:dyDescent="0.25">
      <c r="A5" s="4"/>
      <c r="B5" s="689" t="s">
        <v>529</v>
      </c>
      <c r="C5" s="690"/>
      <c r="D5" s="690"/>
      <c r="E5" s="690"/>
      <c r="F5" s="690"/>
      <c r="G5" s="690"/>
      <c r="H5" s="690"/>
      <c r="I5" s="690"/>
      <c r="J5" s="690"/>
      <c r="K5" s="690"/>
      <c r="L5" s="690"/>
      <c r="M5" s="690"/>
      <c r="N5" s="690"/>
      <c r="O5" s="690"/>
      <c r="P5" s="690"/>
      <c r="Q5" s="690"/>
      <c r="R5" s="691"/>
    </row>
    <row r="6" spans="1:18" x14ac:dyDescent="0.25">
      <c r="A6" s="72" t="s">
        <v>142</v>
      </c>
      <c r="B6" s="689" t="s">
        <v>92</v>
      </c>
      <c r="C6" s="690"/>
      <c r="D6" s="690"/>
      <c r="E6" s="690"/>
      <c r="F6" s="690"/>
      <c r="G6" s="690"/>
      <c r="H6" s="690"/>
      <c r="I6" s="690"/>
      <c r="J6" s="690"/>
      <c r="K6" s="690"/>
      <c r="L6" s="690"/>
      <c r="M6" s="690"/>
      <c r="N6" s="690"/>
      <c r="O6" s="690"/>
      <c r="P6" s="690"/>
      <c r="Q6" s="690"/>
      <c r="R6" s="691"/>
    </row>
    <row r="7" spans="1:18" x14ac:dyDescent="0.25">
      <c r="A7" s="72" t="s">
        <v>142</v>
      </c>
      <c r="B7" s="689" t="s">
        <v>93</v>
      </c>
      <c r="C7" s="690"/>
      <c r="D7" s="690"/>
      <c r="E7" s="690"/>
      <c r="F7" s="690"/>
      <c r="G7" s="690"/>
      <c r="H7" s="690"/>
      <c r="I7" s="690"/>
      <c r="J7" s="690"/>
      <c r="K7" s="690"/>
      <c r="L7" s="690"/>
      <c r="M7" s="690"/>
      <c r="N7" s="690"/>
      <c r="O7" s="690"/>
      <c r="P7" s="690"/>
      <c r="Q7" s="690"/>
      <c r="R7" s="691"/>
    </row>
    <row r="8" spans="1:18" x14ac:dyDescent="0.25">
      <c r="A8" s="4"/>
      <c r="B8" s="689" t="s">
        <v>94</v>
      </c>
      <c r="C8" s="690"/>
      <c r="D8" s="690"/>
      <c r="E8" s="690"/>
      <c r="F8" s="690"/>
      <c r="G8" s="690"/>
      <c r="H8" s="690"/>
      <c r="I8" s="690"/>
      <c r="J8" s="690"/>
      <c r="K8" s="690"/>
      <c r="L8" s="690"/>
      <c r="M8" s="690"/>
      <c r="N8" s="690"/>
      <c r="O8" s="690"/>
      <c r="P8" s="690"/>
      <c r="Q8" s="690"/>
      <c r="R8" s="691"/>
    </row>
    <row r="9" spans="1:18" x14ac:dyDescent="0.25">
      <c r="A9" s="4"/>
      <c r="B9" s="689" t="s">
        <v>95</v>
      </c>
      <c r="C9" s="690"/>
      <c r="D9" s="690"/>
      <c r="E9" s="690"/>
      <c r="F9" s="690"/>
      <c r="G9" s="690"/>
      <c r="H9" s="690"/>
      <c r="I9" s="690"/>
      <c r="J9" s="690"/>
      <c r="K9" s="690"/>
      <c r="L9" s="690"/>
      <c r="M9" s="690"/>
      <c r="N9" s="690"/>
      <c r="O9" s="690"/>
      <c r="P9" s="690"/>
      <c r="Q9" s="690"/>
      <c r="R9" s="691"/>
    </row>
    <row r="10" spans="1:18" x14ac:dyDescent="0.25">
      <c r="A10" s="4"/>
      <c r="B10" s="689" t="s">
        <v>96</v>
      </c>
      <c r="C10" s="690"/>
      <c r="D10" s="690"/>
      <c r="E10" s="690"/>
      <c r="F10" s="690"/>
      <c r="G10" s="690"/>
      <c r="H10" s="690"/>
      <c r="I10" s="690"/>
      <c r="J10" s="690"/>
      <c r="K10" s="690"/>
      <c r="L10" s="690"/>
      <c r="M10" s="690"/>
      <c r="N10" s="690"/>
      <c r="O10" s="690"/>
      <c r="P10" s="690"/>
      <c r="Q10" s="690"/>
      <c r="R10" s="691"/>
    </row>
    <row r="11" spans="1:18" x14ac:dyDescent="0.25">
      <c r="A11" s="4"/>
      <c r="B11" s="689" t="s">
        <v>97</v>
      </c>
      <c r="C11" s="690"/>
      <c r="D11" s="690"/>
      <c r="E11" s="690"/>
      <c r="F11" s="690"/>
      <c r="G11" s="690"/>
      <c r="H11" s="690"/>
      <c r="I11" s="690"/>
      <c r="J11" s="690"/>
      <c r="K11" s="690"/>
      <c r="L11" s="690"/>
      <c r="M11" s="690"/>
      <c r="N11" s="690"/>
      <c r="O11" s="690"/>
      <c r="P11" s="690"/>
      <c r="Q11" s="690"/>
      <c r="R11" s="691"/>
    </row>
    <row r="12" spans="1:18" ht="16.5" customHeight="1" x14ac:dyDescent="0.25">
      <c r="A12" s="4"/>
      <c r="B12" s="707" t="s">
        <v>349</v>
      </c>
      <c r="C12" s="708"/>
      <c r="D12" s="708"/>
      <c r="E12" s="708"/>
      <c r="F12" s="708"/>
      <c r="G12" s="708"/>
      <c r="H12" s="708"/>
      <c r="I12" s="708"/>
      <c r="J12" s="708"/>
      <c r="K12" s="708"/>
      <c r="L12" s="708"/>
      <c r="M12" s="708"/>
      <c r="N12" s="708"/>
      <c r="O12" s="708"/>
      <c r="P12" s="708"/>
      <c r="Q12" s="708"/>
      <c r="R12" s="709"/>
    </row>
    <row r="13" spans="1:18" ht="16.5" customHeight="1" x14ac:dyDescent="0.25">
      <c r="A13" s="4"/>
      <c r="B13" s="707" t="s">
        <v>350</v>
      </c>
      <c r="C13" s="708"/>
      <c r="D13" s="708"/>
      <c r="E13" s="708"/>
      <c r="F13" s="708"/>
      <c r="G13" s="708"/>
      <c r="H13" s="708"/>
      <c r="I13" s="708"/>
      <c r="J13" s="708"/>
      <c r="K13" s="708"/>
      <c r="L13" s="708"/>
      <c r="M13" s="708"/>
      <c r="N13" s="708"/>
      <c r="O13" s="708"/>
      <c r="P13" s="708"/>
      <c r="Q13" s="708"/>
      <c r="R13" s="709"/>
    </row>
    <row r="14" spans="1:18" x14ac:dyDescent="0.25">
      <c r="A14" s="4"/>
      <c r="B14" s="710" t="s">
        <v>98</v>
      </c>
      <c r="C14" s="711"/>
      <c r="D14" s="711"/>
      <c r="E14" s="711"/>
      <c r="F14" s="711"/>
      <c r="G14" s="711"/>
      <c r="H14" s="711"/>
      <c r="I14" s="711"/>
      <c r="J14" s="711"/>
      <c r="K14" s="711"/>
      <c r="L14" s="711"/>
      <c r="M14" s="711"/>
      <c r="N14" s="711"/>
      <c r="O14" s="711"/>
      <c r="P14" s="711"/>
      <c r="Q14" s="711"/>
      <c r="R14" s="712"/>
    </row>
    <row r="15" spans="1:18" ht="15.75" thickBot="1" x14ac:dyDescent="0.3">
      <c r="A15" s="4"/>
      <c r="B15" s="689"/>
      <c r="C15" s="690"/>
      <c r="D15" s="690"/>
      <c r="E15" s="690"/>
      <c r="F15" s="690"/>
      <c r="G15" s="690"/>
      <c r="H15" s="690"/>
      <c r="I15" s="690"/>
      <c r="J15" s="690"/>
      <c r="K15" s="690"/>
      <c r="L15" s="690"/>
      <c r="M15" s="690"/>
      <c r="N15" s="690"/>
      <c r="O15" s="690"/>
      <c r="P15" s="690"/>
      <c r="Q15" s="690"/>
      <c r="R15" s="691"/>
    </row>
    <row r="16" spans="1:18" ht="15.75" thickBot="1" x14ac:dyDescent="0.3">
      <c r="A16" s="704" t="s">
        <v>403</v>
      </c>
      <c r="B16" s="705"/>
      <c r="C16" s="705"/>
      <c r="D16" s="705"/>
      <c r="E16" s="705"/>
      <c r="F16" s="705"/>
      <c r="G16" s="705"/>
      <c r="H16" s="705"/>
      <c r="I16" s="705"/>
      <c r="J16" s="705"/>
      <c r="K16" s="705"/>
      <c r="L16" s="705"/>
      <c r="M16" s="705"/>
      <c r="N16" s="705"/>
      <c r="O16" s="705"/>
      <c r="P16" s="705"/>
      <c r="Q16" s="705"/>
      <c r="R16" s="706"/>
    </row>
    <row r="17" spans="1:18" ht="15" customHeight="1" x14ac:dyDescent="0.25">
      <c r="A17" s="695" t="s">
        <v>404</v>
      </c>
      <c r="B17" s="696"/>
      <c r="C17" s="696"/>
      <c r="D17" s="696"/>
      <c r="E17" s="696"/>
      <c r="F17" s="696"/>
      <c r="G17" s="696"/>
      <c r="H17" s="696"/>
      <c r="I17" s="696"/>
      <c r="J17" s="696"/>
      <c r="K17" s="696"/>
      <c r="L17" s="696"/>
      <c r="M17" s="696"/>
      <c r="N17" s="696"/>
      <c r="O17" s="696"/>
      <c r="P17" s="696"/>
      <c r="Q17" s="696"/>
      <c r="R17" s="697"/>
    </row>
    <row r="18" spans="1:18" x14ac:dyDescent="0.25">
      <c r="A18" s="698"/>
      <c r="B18" s="699"/>
      <c r="C18" s="699"/>
      <c r="D18" s="699"/>
      <c r="E18" s="699"/>
      <c r="F18" s="699"/>
      <c r="G18" s="699"/>
      <c r="H18" s="699"/>
      <c r="I18" s="699"/>
      <c r="J18" s="699"/>
      <c r="K18" s="699"/>
      <c r="L18" s="699"/>
      <c r="M18" s="699"/>
      <c r="N18" s="699"/>
      <c r="O18" s="699"/>
      <c r="P18" s="699"/>
      <c r="Q18" s="699"/>
      <c r="R18" s="700"/>
    </row>
    <row r="19" spans="1:18" x14ac:dyDescent="0.25">
      <c r="A19" s="698"/>
      <c r="B19" s="699"/>
      <c r="C19" s="699"/>
      <c r="D19" s="699"/>
      <c r="E19" s="699"/>
      <c r="F19" s="699"/>
      <c r="G19" s="699"/>
      <c r="H19" s="699"/>
      <c r="I19" s="699"/>
      <c r="J19" s="699"/>
      <c r="K19" s="699"/>
      <c r="L19" s="699"/>
      <c r="M19" s="699"/>
      <c r="N19" s="699"/>
      <c r="O19" s="699"/>
      <c r="P19" s="699"/>
      <c r="Q19" s="699"/>
      <c r="R19" s="700"/>
    </row>
    <row r="20" spans="1:18" x14ac:dyDescent="0.25">
      <c r="A20" s="698"/>
      <c r="B20" s="699"/>
      <c r="C20" s="699"/>
      <c r="D20" s="699"/>
      <c r="E20" s="699"/>
      <c r="F20" s="699"/>
      <c r="G20" s="699"/>
      <c r="H20" s="699"/>
      <c r="I20" s="699"/>
      <c r="J20" s="699"/>
      <c r="K20" s="699"/>
      <c r="L20" s="699"/>
      <c r="M20" s="699"/>
      <c r="N20" s="699"/>
      <c r="O20" s="699"/>
      <c r="P20" s="699"/>
      <c r="Q20" s="699"/>
      <c r="R20" s="700"/>
    </row>
    <row r="21" spans="1:18" x14ac:dyDescent="0.25">
      <c r="A21" s="698"/>
      <c r="B21" s="699"/>
      <c r="C21" s="699"/>
      <c r="D21" s="699"/>
      <c r="E21" s="699"/>
      <c r="F21" s="699"/>
      <c r="G21" s="699"/>
      <c r="H21" s="699"/>
      <c r="I21" s="699"/>
      <c r="J21" s="699"/>
      <c r="K21" s="699"/>
      <c r="L21" s="699"/>
      <c r="M21" s="699"/>
      <c r="N21" s="699"/>
      <c r="O21" s="699"/>
      <c r="P21" s="699"/>
      <c r="Q21" s="699"/>
      <c r="R21" s="700"/>
    </row>
    <row r="22" spans="1:18" x14ac:dyDescent="0.25">
      <c r="A22" s="698"/>
      <c r="B22" s="699"/>
      <c r="C22" s="699"/>
      <c r="D22" s="699"/>
      <c r="E22" s="699"/>
      <c r="F22" s="699"/>
      <c r="G22" s="699"/>
      <c r="H22" s="699"/>
      <c r="I22" s="699"/>
      <c r="J22" s="699"/>
      <c r="K22" s="699"/>
      <c r="L22" s="699"/>
      <c r="M22" s="699"/>
      <c r="N22" s="699"/>
      <c r="O22" s="699"/>
      <c r="P22" s="699"/>
      <c r="Q22" s="699"/>
      <c r="R22" s="700"/>
    </row>
    <row r="23" spans="1:18" x14ac:dyDescent="0.25">
      <c r="A23" s="698"/>
      <c r="B23" s="699"/>
      <c r="C23" s="699"/>
      <c r="D23" s="699"/>
      <c r="E23" s="699"/>
      <c r="F23" s="699"/>
      <c r="G23" s="699"/>
      <c r="H23" s="699"/>
      <c r="I23" s="699"/>
      <c r="J23" s="699"/>
      <c r="K23" s="699"/>
      <c r="L23" s="699"/>
      <c r="M23" s="699"/>
      <c r="N23" s="699"/>
      <c r="O23" s="699"/>
      <c r="P23" s="699"/>
      <c r="Q23" s="699"/>
      <c r="R23" s="700"/>
    </row>
    <row r="24" spans="1:18" x14ac:dyDescent="0.25">
      <c r="A24" s="698"/>
      <c r="B24" s="699"/>
      <c r="C24" s="699"/>
      <c r="D24" s="699"/>
      <c r="E24" s="699"/>
      <c r="F24" s="699"/>
      <c r="G24" s="699"/>
      <c r="H24" s="699"/>
      <c r="I24" s="699"/>
      <c r="J24" s="699"/>
      <c r="K24" s="699"/>
      <c r="L24" s="699"/>
      <c r="M24" s="699"/>
      <c r="N24" s="699"/>
      <c r="O24" s="699"/>
      <c r="P24" s="699"/>
      <c r="Q24" s="699"/>
      <c r="R24" s="700"/>
    </row>
    <row r="25" spans="1:18" x14ac:dyDescent="0.25">
      <c r="A25" s="698"/>
      <c r="B25" s="699"/>
      <c r="C25" s="699"/>
      <c r="D25" s="699"/>
      <c r="E25" s="699"/>
      <c r="F25" s="699"/>
      <c r="G25" s="699"/>
      <c r="H25" s="699"/>
      <c r="I25" s="699"/>
      <c r="J25" s="699"/>
      <c r="K25" s="699"/>
      <c r="L25" s="699"/>
      <c r="M25" s="699"/>
      <c r="N25" s="699"/>
      <c r="O25" s="699"/>
      <c r="P25" s="699"/>
      <c r="Q25" s="699"/>
      <c r="R25" s="700"/>
    </row>
    <row r="26" spans="1:18" x14ac:dyDescent="0.25">
      <c r="A26" s="698"/>
      <c r="B26" s="699"/>
      <c r="C26" s="699"/>
      <c r="D26" s="699"/>
      <c r="E26" s="699"/>
      <c r="F26" s="699"/>
      <c r="G26" s="699"/>
      <c r="H26" s="699"/>
      <c r="I26" s="699"/>
      <c r="J26" s="699"/>
      <c r="K26" s="699"/>
      <c r="L26" s="699"/>
      <c r="M26" s="699"/>
      <c r="N26" s="699"/>
      <c r="O26" s="699"/>
      <c r="P26" s="699"/>
      <c r="Q26" s="699"/>
      <c r="R26" s="700"/>
    </row>
    <row r="27" spans="1:18" x14ac:dyDescent="0.25">
      <c r="A27" s="698"/>
      <c r="B27" s="699"/>
      <c r="C27" s="699"/>
      <c r="D27" s="699"/>
      <c r="E27" s="699"/>
      <c r="F27" s="699"/>
      <c r="G27" s="699"/>
      <c r="H27" s="699"/>
      <c r="I27" s="699"/>
      <c r="J27" s="699"/>
      <c r="K27" s="699"/>
      <c r="L27" s="699"/>
      <c r="M27" s="699"/>
      <c r="N27" s="699"/>
      <c r="O27" s="699"/>
      <c r="P27" s="699"/>
      <c r="Q27" s="699"/>
      <c r="R27" s="700"/>
    </row>
    <row r="28" spans="1:18" x14ac:dyDescent="0.25">
      <c r="A28" s="698"/>
      <c r="B28" s="699"/>
      <c r="C28" s="699"/>
      <c r="D28" s="699"/>
      <c r="E28" s="699"/>
      <c r="F28" s="699"/>
      <c r="G28" s="699"/>
      <c r="H28" s="699"/>
      <c r="I28" s="699"/>
      <c r="J28" s="699"/>
      <c r="K28" s="699"/>
      <c r="L28" s="699"/>
      <c r="M28" s="699"/>
      <c r="N28" s="699"/>
      <c r="O28" s="699"/>
      <c r="P28" s="699"/>
      <c r="Q28" s="699"/>
      <c r="R28" s="700"/>
    </row>
    <row r="29" spans="1:18" ht="273" customHeight="1" thickBot="1" x14ac:dyDescent="0.3">
      <c r="A29" s="701"/>
      <c r="B29" s="702"/>
      <c r="C29" s="702"/>
      <c r="D29" s="702"/>
      <c r="E29" s="702"/>
      <c r="F29" s="702"/>
      <c r="G29" s="702"/>
      <c r="H29" s="702"/>
      <c r="I29" s="702"/>
      <c r="J29" s="702"/>
      <c r="K29" s="702"/>
      <c r="L29" s="702"/>
      <c r="M29" s="702"/>
      <c r="N29" s="702"/>
      <c r="O29" s="702"/>
      <c r="P29" s="702"/>
      <c r="Q29" s="702"/>
      <c r="R29" s="703"/>
    </row>
    <row r="30" spans="1:18" ht="15.75" thickBot="1" x14ac:dyDescent="0.3">
      <c r="A30" s="704" t="s">
        <v>88</v>
      </c>
      <c r="B30" s="705"/>
      <c r="C30" s="705"/>
      <c r="D30" s="705"/>
      <c r="E30" s="705"/>
      <c r="F30" s="705"/>
      <c r="G30" s="705"/>
      <c r="H30" s="705"/>
      <c r="I30" s="705"/>
      <c r="J30" s="705"/>
      <c r="K30" s="705"/>
      <c r="L30" s="705"/>
      <c r="M30" s="705"/>
      <c r="N30" s="705"/>
      <c r="O30" s="705"/>
      <c r="P30" s="705"/>
      <c r="Q30" s="705"/>
      <c r="R30" s="706"/>
    </row>
    <row r="31" spans="1:18" ht="15" customHeight="1" x14ac:dyDescent="0.25">
      <c r="A31" s="695" t="s">
        <v>351</v>
      </c>
      <c r="B31" s="696"/>
      <c r="C31" s="696"/>
      <c r="D31" s="696"/>
      <c r="E31" s="696"/>
      <c r="F31" s="696"/>
      <c r="G31" s="696"/>
      <c r="H31" s="696"/>
      <c r="I31" s="696"/>
      <c r="J31" s="696"/>
      <c r="K31" s="696"/>
      <c r="L31" s="696"/>
      <c r="M31" s="696"/>
      <c r="N31" s="696"/>
      <c r="O31" s="696"/>
      <c r="P31" s="696"/>
      <c r="Q31" s="696"/>
      <c r="R31" s="697"/>
    </row>
    <row r="32" spans="1:18" x14ac:dyDescent="0.25">
      <c r="A32" s="698"/>
      <c r="B32" s="699"/>
      <c r="C32" s="699"/>
      <c r="D32" s="699"/>
      <c r="E32" s="699"/>
      <c r="F32" s="699"/>
      <c r="G32" s="699"/>
      <c r="H32" s="699"/>
      <c r="I32" s="699"/>
      <c r="J32" s="699"/>
      <c r="K32" s="699"/>
      <c r="L32" s="699"/>
      <c r="M32" s="699"/>
      <c r="N32" s="699"/>
      <c r="O32" s="699"/>
      <c r="P32" s="699"/>
      <c r="Q32" s="699"/>
      <c r="R32" s="700"/>
    </row>
    <row r="33" spans="1:18" hidden="1" x14ac:dyDescent="0.25">
      <c r="A33" s="698"/>
      <c r="B33" s="699"/>
      <c r="C33" s="699"/>
      <c r="D33" s="699"/>
      <c r="E33" s="699"/>
      <c r="F33" s="699"/>
      <c r="G33" s="699"/>
      <c r="H33" s="699"/>
      <c r="I33" s="699"/>
      <c r="J33" s="699"/>
      <c r="K33" s="699"/>
      <c r="L33" s="699"/>
      <c r="M33" s="699"/>
      <c r="N33" s="699"/>
      <c r="O33" s="699"/>
      <c r="P33" s="699"/>
      <c r="Q33" s="699"/>
      <c r="R33" s="700"/>
    </row>
    <row r="34" spans="1:18" hidden="1" x14ac:dyDescent="0.25">
      <c r="A34" s="698"/>
      <c r="B34" s="699"/>
      <c r="C34" s="699"/>
      <c r="D34" s="699"/>
      <c r="E34" s="699"/>
      <c r="F34" s="699"/>
      <c r="G34" s="699"/>
      <c r="H34" s="699"/>
      <c r="I34" s="699"/>
      <c r="J34" s="699"/>
      <c r="K34" s="699"/>
      <c r="L34" s="699"/>
      <c r="M34" s="699"/>
      <c r="N34" s="699"/>
      <c r="O34" s="699"/>
      <c r="P34" s="699"/>
      <c r="Q34" s="699"/>
      <c r="R34" s="700"/>
    </row>
    <row r="35" spans="1:18" hidden="1" x14ac:dyDescent="0.25">
      <c r="A35" s="698"/>
      <c r="B35" s="699"/>
      <c r="C35" s="699"/>
      <c r="D35" s="699"/>
      <c r="E35" s="699"/>
      <c r="F35" s="699"/>
      <c r="G35" s="699"/>
      <c r="H35" s="699"/>
      <c r="I35" s="699"/>
      <c r="J35" s="699"/>
      <c r="K35" s="699"/>
      <c r="L35" s="699"/>
      <c r="M35" s="699"/>
      <c r="N35" s="699"/>
      <c r="O35" s="699"/>
      <c r="P35" s="699"/>
      <c r="Q35" s="699"/>
      <c r="R35" s="700"/>
    </row>
    <row r="36" spans="1:18" hidden="1" x14ac:dyDescent="0.25">
      <c r="A36" s="698"/>
      <c r="B36" s="699"/>
      <c r="C36" s="699"/>
      <c r="D36" s="699"/>
      <c r="E36" s="699"/>
      <c r="F36" s="699"/>
      <c r="G36" s="699"/>
      <c r="H36" s="699"/>
      <c r="I36" s="699"/>
      <c r="J36" s="699"/>
      <c r="K36" s="699"/>
      <c r="L36" s="699"/>
      <c r="M36" s="699"/>
      <c r="N36" s="699"/>
      <c r="O36" s="699"/>
      <c r="P36" s="699"/>
      <c r="Q36" s="699"/>
      <c r="R36" s="700"/>
    </row>
    <row r="37" spans="1:18" hidden="1" x14ac:dyDescent="0.25">
      <c r="A37" s="698"/>
      <c r="B37" s="699"/>
      <c r="C37" s="699"/>
      <c r="D37" s="699"/>
      <c r="E37" s="699"/>
      <c r="F37" s="699"/>
      <c r="G37" s="699"/>
      <c r="H37" s="699"/>
      <c r="I37" s="699"/>
      <c r="J37" s="699"/>
      <c r="K37" s="699"/>
      <c r="L37" s="699"/>
      <c r="M37" s="699"/>
      <c r="N37" s="699"/>
      <c r="O37" s="699"/>
      <c r="P37" s="699"/>
      <c r="Q37" s="699"/>
      <c r="R37" s="700"/>
    </row>
    <row r="38" spans="1:18" hidden="1" x14ac:dyDescent="0.25">
      <c r="A38" s="698"/>
      <c r="B38" s="699"/>
      <c r="C38" s="699"/>
      <c r="D38" s="699"/>
      <c r="E38" s="699"/>
      <c r="F38" s="699"/>
      <c r="G38" s="699"/>
      <c r="H38" s="699"/>
      <c r="I38" s="699"/>
      <c r="J38" s="699"/>
      <c r="K38" s="699"/>
      <c r="L38" s="699"/>
      <c r="M38" s="699"/>
      <c r="N38" s="699"/>
      <c r="O38" s="699"/>
      <c r="P38" s="699"/>
      <c r="Q38" s="699"/>
      <c r="R38" s="700"/>
    </row>
    <row r="39" spans="1:18" hidden="1" x14ac:dyDescent="0.25">
      <c r="A39" s="698"/>
      <c r="B39" s="699"/>
      <c r="C39" s="699"/>
      <c r="D39" s="699"/>
      <c r="E39" s="699"/>
      <c r="F39" s="699"/>
      <c r="G39" s="699"/>
      <c r="H39" s="699"/>
      <c r="I39" s="699"/>
      <c r="J39" s="699"/>
      <c r="K39" s="699"/>
      <c r="L39" s="699"/>
      <c r="M39" s="699"/>
      <c r="N39" s="699"/>
      <c r="O39" s="699"/>
      <c r="P39" s="699"/>
      <c r="Q39" s="699"/>
      <c r="R39" s="700"/>
    </row>
    <row r="40" spans="1:18" hidden="1" x14ac:dyDescent="0.25">
      <c r="A40" s="698"/>
      <c r="B40" s="699"/>
      <c r="C40" s="699"/>
      <c r="D40" s="699"/>
      <c r="E40" s="699"/>
      <c r="F40" s="699"/>
      <c r="G40" s="699"/>
      <c r="H40" s="699"/>
      <c r="I40" s="699"/>
      <c r="J40" s="699"/>
      <c r="K40" s="699"/>
      <c r="L40" s="699"/>
      <c r="M40" s="699"/>
      <c r="N40" s="699"/>
      <c r="O40" s="699"/>
      <c r="P40" s="699"/>
      <c r="Q40" s="699"/>
      <c r="R40" s="700"/>
    </row>
    <row r="41" spans="1:18" hidden="1" x14ac:dyDescent="0.25">
      <c r="A41" s="698"/>
      <c r="B41" s="699"/>
      <c r="C41" s="699"/>
      <c r="D41" s="699"/>
      <c r="E41" s="699"/>
      <c r="F41" s="699"/>
      <c r="G41" s="699"/>
      <c r="H41" s="699"/>
      <c r="I41" s="699"/>
      <c r="J41" s="699"/>
      <c r="K41" s="699"/>
      <c r="L41" s="699"/>
      <c r="M41" s="699"/>
      <c r="N41" s="699"/>
      <c r="O41" s="699"/>
      <c r="P41" s="699"/>
      <c r="Q41" s="699"/>
      <c r="R41" s="700"/>
    </row>
    <row r="42" spans="1:18" ht="13.5" hidden="1" customHeight="1" x14ac:dyDescent="0.25">
      <c r="A42" s="698"/>
      <c r="B42" s="699"/>
      <c r="C42" s="699"/>
      <c r="D42" s="699"/>
      <c r="E42" s="699"/>
      <c r="F42" s="699"/>
      <c r="G42" s="699"/>
      <c r="H42" s="699"/>
      <c r="I42" s="699"/>
      <c r="J42" s="699"/>
      <c r="K42" s="699"/>
      <c r="L42" s="699"/>
      <c r="M42" s="699"/>
      <c r="N42" s="699"/>
      <c r="O42" s="699"/>
      <c r="P42" s="699"/>
      <c r="Q42" s="699"/>
      <c r="R42" s="700"/>
    </row>
    <row r="43" spans="1:18" ht="15.75" thickBot="1" x14ac:dyDescent="0.3">
      <c r="A43" s="701"/>
      <c r="B43" s="702"/>
      <c r="C43" s="702"/>
      <c r="D43" s="702"/>
      <c r="E43" s="702"/>
      <c r="F43" s="702"/>
      <c r="G43" s="702"/>
      <c r="H43" s="702"/>
      <c r="I43" s="702"/>
      <c r="J43" s="702"/>
      <c r="K43" s="702"/>
      <c r="L43" s="702"/>
      <c r="M43" s="702"/>
      <c r="N43" s="702"/>
      <c r="O43" s="702"/>
      <c r="P43" s="702"/>
      <c r="Q43" s="702"/>
      <c r="R43" s="703"/>
    </row>
    <row r="44" spans="1:18" ht="15.75" thickBot="1" x14ac:dyDescent="0.3">
      <c r="A44" s="704" t="s">
        <v>100</v>
      </c>
      <c r="B44" s="705"/>
      <c r="C44" s="705"/>
      <c r="D44" s="705"/>
      <c r="E44" s="705"/>
      <c r="F44" s="705"/>
      <c r="G44" s="705"/>
      <c r="H44" s="705"/>
      <c r="I44" s="705"/>
      <c r="J44" s="705"/>
      <c r="K44" s="705"/>
      <c r="L44" s="705"/>
      <c r="M44" s="705"/>
      <c r="N44" s="705"/>
      <c r="O44" s="705"/>
      <c r="P44" s="705"/>
      <c r="Q44" s="705"/>
      <c r="R44" s="706"/>
    </row>
    <row r="45" spans="1:18" ht="15" customHeight="1" x14ac:dyDescent="0.25">
      <c r="A45" s="695"/>
      <c r="B45" s="696"/>
      <c r="C45" s="696"/>
      <c r="D45" s="696"/>
      <c r="E45" s="696"/>
      <c r="F45" s="696"/>
      <c r="G45" s="696"/>
      <c r="H45" s="696"/>
      <c r="I45" s="696"/>
      <c r="J45" s="696"/>
      <c r="K45" s="696"/>
      <c r="L45" s="696"/>
      <c r="M45" s="696"/>
      <c r="N45" s="696"/>
      <c r="O45" s="696"/>
      <c r="P45" s="696"/>
      <c r="Q45" s="696"/>
      <c r="R45" s="697"/>
    </row>
    <row r="46" spans="1:18" x14ac:dyDescent="0.25">
      <c r="A46" s="698"/>
      <c r="B46" s="699"/>
      <c r="C46" s="699"/>
      <c r="D46" s="699"/>
      <c r="E46" s="699"/>
      <c r="F46" s="699"/>
      <c r="G46" s="699"/>
      <c r="H46" s="699"/>
      <c r="I46" s="699"/>
      <c r="J46" s="699"/>
      <c r="K46" s="699"/>
      <c r="L46" s="699"/>
      <c r="M46" s="699"/>
      <c r="N46" s="699"/>
      <c r="O46" s="699"/>
      <c r="P46" s="699"/>
      <c r="Q46" s="699"/>
      <c r="R46" s="700"/>
    </row>
    <row r="47" spans="1:18" hidden="1" x14ac:dyDescent="0.25">
      <c r="A47" s="698"/>
      <c r="B47" s="699"/>
      <c r="C47" s="699"/>
      <c r="D47" s="699"/>
      <c r="E47" s="699"/>
      <c r="F47" s="699"/>
      <c r="G47" s="699"/>
      <c r="H47" s="699"/>
      <c r="I47" s="699"/>
      <c r="J47" s="699"/>
      <c r="K47" s="699"/>
      <c r="L47" s="699"/>
      <c r="M47" s="699"/>
      <c r="N47" s="699"/>
      <c r="O47" s="699"/>
      <c r="P47" s="699"/>
      <c r="Q47" s="699"/>
      <c r="R47" s="700"/>
    </row>
    <row r="48" spans="1:18" hidden="1" x14ac:dyDescent="0.25">
      <c r="A48" s="698"/>
      <c r="B48" s="699"/>
      <c r="C48" s="699"/>
      <c r="D48" s="699"/>
      <c r="E48" s="699"/>
      <c r="F48" s="699"/>
      <c r="G48" s="699"/>
      <c r="H48" s="699"/>
      <c r="I48" s="699"/>
      <c r="J48" s="699"/>
      <c r="K48" s="699"/>
      <c r="L48" s="699"/>
      <c r="M48" s="699"/>
      <c r="N48" s="699"/>
      <c r="O48" s="699"/>
      <c r="P48" s="699"/>
      <c r="Q48" s="699"/>
      <c r="R48" s="700"/>
    </row>
    <row r="49" spans="1:18" hidden="1" x14ac:dyDescent="0.25">
      <c r="A49" s="698"/>
      <c r="B49" s="699"/>
      <c r="C49" s="699"/>
      <c r="D49" s="699"/>
      <c r="E49" s="699"/>
      <c r="F49" s="699"/>
      <c r="G49" s="699"/>
      <c r="H49" s="699"/>
      <c r="I49" s="699"/>
      <c r="J49" s="699"/>
      <c r="K49" s="699"/>
      <c r="L49" s="699"/>
      <c r="M49" s="699"/>
      <c r="N49" s="699"/>
      <c r="O49" s="699"/>
      <c r="P49" s="699"/>
      <c r="Q49" s="699"/>
      <c r="R49" s="700"/>
    </row>
    <row r="50" spans="1:18" hidden="1" x14ac:dyDescent="0.25">
      <c r="A50" s="698"/>
      <c r="B50" s="699"/>
      <c r="C50" s="699"/>
      <c r="D50" s="699"/>
      <c r="E50" s="699"/>
      <c r="F50" s="699"/>
      <c r="G50" s="699"/>
      <c r="H50" s="699"/>
      <c r="I50" s="699"/>
      <c r="J50" s="699"/>
      <c r="K50" s="699"/>
      <c r="L50" s="699"/>
      <c r="M50" s="699"/>
      <c r="N50" s="699"/>
      <c r="O50" s="699"/>
      <c r="P50" s="699"/>
      <c r="Q50" s="699"/>
      <c r="R50" s="700"/>
    </row>
    <row r="51" spans="1:18" hidden="1" x14ac:dyDescent="0.25">
      <c r="A51" s="698"/>
      <c r="B51" s="699"/>
      <c r="C51" s="699"/>
      <c r="D51" s="699"/>
      <c r="E51" s="699"/>
      <c r="F51" s="699"/>
      <c r="G51" s="699"/>
      <c r="H51" s="699"/>
      <c r="I51" s="699"/>
      <c r="J51" s="699"/>
      <c r="K51" s="699"/>
      <c r="L51" s="699"/>
      <c r="M51" s="699"/>
      <c r="N51" s="699"/>
      <c r="O51" s="699"/>
      <c r="P51" s="699"/>
      <c r="Q51" s="699"/>
      <c r="R51" s="700"/>
    </row>
    <row r="52" spans="1:18" hidden="1" x14ac:dyDescent="0.25">
      <c r="A52" s="698"/>
      <c r="B52" s="699"/>
      <c r="C52" s="699"/>
      <c r="D52" s="699"/>
      <c r="E52" s="699"/>
      <c r="F52" s="699"/>
      <c r="G52" s="699"/>
      <c r="H52" s="699"/>
      <c r="I52" s="699"/>
      <c r="J52" s="699"/>
      <c r="K52" s="699"/>
      <c r="L52" s="699"/>
      <c r="M52" s="699"/>
      <c r="N52" s="699"/>
      <c r="O52" s="699"/>
      <c r="P52" s="699"/>
      <c r="Q52" s="699"/>
      <c r="R52" s="700"/>
    </row>
    <row r="53" spans="1:18" hidden="1" x14ac:dyDescent="0.25">
      <c r="A53" s="698"/>
      <c r="B53" s="699"/>
      <c r="C53" s="699"/>
      <c r="D53" s="699"/>
      <c r="E53" s="699"/>
      <c r="F53" s="699"/>
      <c r="G53" s="699"/>
      <c r="H53" s="699"/>
      <c r="I53" s="699"/>
      <c r="J53" s="699"/>
      <c r="K53" s="699"/>
      <c r="L53" s="699"/>
      <c r="M53" s="699"/>
      <c r="N53" s="699"/>
      <c r="O53" s="699"/>
      <c r="P53" s="699"/>
      <c r="Q53" s="699"/>
      <c r="R53" s="700"/>
    </row>
    <row r="54" spans="1:18" hidden="1" x14ac:dyDescent="0.25">
      <c r="A54" s="698"/>
      <c r="B54" s="699"/>
      <c r="C54" s="699"/>
      <c r="D54" s="699"/>
      <c r="E54" s="699"/>
      <c r="F54" s="699"/>
      <c r="G54" s="699"/>
      <c r="H54" s="699"/>
      <c r="I54" s="699"/>
      <c r="J54" s="699"/>
      <c r="K54" s="699"/>
      <c r="L54" s="699"/>
      <c r="M54" s="699"/>
      <c r="N54" s="699"/>
      <c r="O54" s="699"/>
      <c r="P54" s="699"/>
      <c r="Q54" s="699"/>
      <c r="R54" s="700"/>
    </row>
    <row r="55" spans="1:18" hidden="1" x14ac:dyDescent="0.25">
      <c r="A55" s="698"/>
      <c r="B55" s="699"/>
      <c r="C55" s="699"/>
      <c r="D55" s="699"/>
      <c r="E55" s="699"/>
      <c r="F55" s="699"/>
      <c r="G55" s="699"/>
      <c r="H55" s="699"/>
      <c r="I55" s="699"/>
      <c r="J55" s="699"/>
      <c r="K55" s="699"/>
      <c r="L55" s="699"/>
      <c r="M55" s="699"/>
      <c r="N55" s="699"/>
      <c r="O55" s="699"/>
      <c r="P55" s="699"/>
      <c r="Q55" s="699"/>
      <c r="R55" s="700"/>
    </row>
    <row r="56" spans="1:18" hidden="1" x14ac:dyDescent="0.25">
      <c r="A56" s="698"/>
      <c r="B56" s="699"/>
      <c r="C56" s="699"/>
      <c r="D56" s="699"/>
      <c r="E56" s="699"/>
      <c r="F56" s="699"/>
      <c r="G56" s="699"/>
      <c r="H56" s="699"/>
      <c r="I56" s="699"/>
      <c r="J56" s="699"/>
      <c r="K56" s="699"/>
      <c r="L56" s="699"/>
      <c r="M56" s="699"/>
      <c r="N56" s="699"/>
      <c r="O56" s="699"/>
      <c r="P56" s="699"/>
      <c r="Q56" s="699"/>
      <c r="R56" s="700"/>
    </row>
    <row r="57" spans="1:18" ht="15.75" hidden="1" thickBot="1" x14ac:dyDescent="0.3">
      <c r="A57" s="701"/>
      <c r="B57" s="702"/>
      <c r="C57" s="702"/>
      <c r="D57" s="702"/>
      <c r="E57" s="702"/>
      <c r="F57" s="702"/>
      <c r="G57" s="702"/>
      <c r="H57" s="702"/>
      <c r="I57" s="702"/>
      <c r="J57" s="702"/>
      <c r="K57" s="702"/>
      <c r="L57" s="702"/>
      <c r="M57" s="702"/>
      <c r="N57" s="702"/>
      <c r="O57" s="702"/>
      <c r="P57" s="702"/>
      <c r="Q57" s="702"/>
      <c r="R57" s="703"/>
    </row>
    <row r="58" spans="1:18" x14ac:dyDescent="0.25">
      <c r="A58" t="s">
        <v>514</v>
      </c>
    </row>
  </sheetData>
  <mergeCells count="21">
    <mergeCell ref="A45:R57"/>
    <mergeCell ref="A31:R43"/>
    <mergeCell ref="A30:R30"/>
    <mergeCell ref="B12:R12"/>
    <mergeCell ref="B13:R13"/>
    <mergeCell ref="A16:R16"/>
    <mergeCell ref="A17:R29"/>
    <mergeCell ref="B14:R14"/>
    <mergeCell ref="B15:R15"/>
    <mergeCell ref="A44:R44"/>
    <mergeCell ref="A1:R1"/>
    <mergeCell ref="B11:R11"/>
    <mergeCell ref="B9:R9"/>
    <mergeCell ref="B7:R7"/>
    <mergeCell ref="B5:R5"/>
    <mergeCell ref="B3:R3"/>
    <mergeCell ref="B4:R4"/>
    <mergeCell ref="B6:R6"/>
    <mergeCell ref="B8:R8"/>
    <mergeCell ref="B10:R10"/>
    <mergeCell ref="B2:R2"/>
  </mergeCells>
  <pageMargins left="0.7" right="0.7" top="0.75" bottom="0.75" header="0.3" footer="0.3"/>
  <pageSetup scale="5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M132"/>
  <sheetViews>
    <sheetView tabSelected="1" zoomScale="85" zoomScaleNormal="85" zoomScaleSheetLayoutView="115" workbookViewId="0">
      <pane xSplit="1" ySplit="18" topLeftCell="B121" activePane="bottomRight" state="frozen"/>
      <selection activeCell="K37" sqref="K37"/>
      <selection pane="topRight" activeCell="K37" sqref="K37"/>
      <selection pane="bottomLeft" activeCell="K37" sqref="K37"/>
      <selection pane="bottomRight" activeCell="H125" sqref="H125"/>
    </sheetView>
  </sheetViews>
  <sheetFormatPr defaultRowHeight="12.75" outlineLevelRow="1" x14ac:dyDescent="0.2"/>
  <cols>
    <col min="1" max="1" width="50.7109375" style="1" customWidth="1"/>
    <col min="2" max="2" width="27.42578125" style="1" bestFit="1" customWidth="1"/>
    <col min="3" max="3" width="18.140625" style="1" customWidth="1"/>
    <col min="4" max="4" width="16" style="1" customWidth="1"/>
    <col min="5" max="5" width="13.7109375" style="1" customWidth="1"/>
    <col min="6" max="6" width="14.7109375" style="1" customWidth="1"/>
    <col min="7" max="7" width="20.42578125" style="1" customWidth="1"/>
    <col min="8" max="8" width="12.28515625" style="1" bestFit="1" customWidth="1"/>
    <col min="9" max="9" width="16.42578125" style="1" bestFit="1" customWidth="1"/>
    <col min="10" max="10" width="71.5703125" style="1" customWidth="1"/>
    <col min="11" max="11" width="13" style="1" customWidth="1"/>
    <col min="12" max="12" width="14.42578125" style="1" bestFit="1" customWidth="1"/>
    <col min="13" max="13" width="12.28515625" style="1" bestFit="1" customWidth="1"/>
    <col min="14" max="14" width="40.85546875" style="1" customWidth="1"/>
    <col min="15" max="16" width="12.28515625" style="1" bestFit="1" customWidth="1"/>
    <col min="17" max="17" width="11.5703125" style="1" bestFit="1" customWidth="1"/>
    <col min="18" max="18" width="12.28515625" style="1" bestFit="1" customWidth="1"/>
    <col min="19" max="19" width="11.28515625" style="1" bestFit="1" customWidth="1"/>
    <col min="20" max="20" width="10.7109375" style="1" customWidth="1"/>
    <col min="21" max="16384" width="9.140625" style="1"/>
  </cols>
  <sheetData>
    <row r="1" spans="1:13" ht="15" x14ac:dyDescent="0.25">
      <c r="A1" s="716" t="s">
        <v>87</v>
      </c>
      <c r="B1" s="665"/>
      <c r="C1" s="665"/>
      <c r="D1" s="665"/>
      <c r="E1" s="665"/>
      <c r="F1" s="665"/>
      <c r="G1" s="665"/>
      <c r="H1" s="665"/>
      <c r="I1" s="665"/>
      <c r="J1" s="665"/>
      <c r="K1" s="49"/>
    </row>
    <row r="2" spans="1:13" ht="15" x14ac:dyDescent="0.25">
      <c r="A2" s="726" t="s">
        <v>79</v>
      </c>
      <c r="B2" s="727"/>
      <c r="C2" s="727"/>
      <c r="D2" s="727"/>
      <c r="E2" s="727"/>
      <c r="F2" s="727"/>
      <c r="G2" s="727"/>
      <c r="H2" s="727"/>
      <c r="I2" s="665"/>
      <c r="J2" s="665"/>
      <c r="K2" s="49"/>
    </row>
    <row r="3" spans="1:13" ht="15" x14ac:dyDescent="0.25">
      <c r="A3" s="726" t="s">
        <v>101</v>
      </c>
      <c r="B3" s="665"/>
      <c r="C3" s="665"/>
      <c r="D3" s="665"/>
      <c r="E3" s="665"/>
      <c r="F3" s="665"/>
      <c r="G3" s="665"/>
      <c r="H3" s="665"/>
      <c r="I3" s="665"/>
      <c r="J3" s="665"/>
      <c r="K3" s="49"/>
    </row>
    <row r="4" spans="1:13" ht="15.75" thickBot="1" x14ac:dyDescent="0.3">
      <c r="A4" s="726"/>
      <c r="B4" s="665"/>
      <c r="C4" s="665"/>
      <c r="D4" s="665"/>
      <c r="E4" s="665"/>
      <c r="F4" s="665"/>
      <c r="G4" s="665"/>
      <c r="H4" s="665"/>
      <c r="I4" s="665"/>
      <c r="J4" s="665"/>
      <c r="K4" s="49"/>
    </row>
    <row r="5" spans="1:13" ht="13.5" thickBot="1" x14ac:dyDescent="0.25">
      <c r="A5" s="357"/>
      <c r="B5" s="378"/>
      <c r="C5" s="376"/>
      <c r="D5" s="372" t="s">
        <v>318</v>
      </c>
      <c r="E5" s="369" t="s">
        <v>319</v>
      </c>
      <c r="F5" s="366" t="s">
        <v>320</v>
      </c>
      <c r="G5" s="362" t="s">
        <v>146</v>
      </c>
      <c r="H5" s="362"/>
      <c r="I5" s="361" t="s">
        <v>2</v>
      </c>
      <c r="J5" s="361" t="s">
        <v>146</v>
      </c>
      <c r="K5" s="49"/>
    </row>
    <row r="6" spans="1:13" ht="27.75" customHeight="1" x14ac:dyDescent="0.2">
      <c r="A6" s="376" t="s">
        <v>6</v>
      </c>
      <c r="B6" s="378" t="s">
        <v>144</v>
      </c>
      <c r="C6" s="376">
        <f>C28-1</f>
        <v>2018</v>
      </c>
      <c r="D6" s="372">
        <f>C6+1</f>
        <v>2019</v>
      </c>
      <c r="E6" s="369">
        <f>D6</f>
        <v>2019</v>
      </c>
      <c r="F6" s="366"/>
      <c r="G6" s="362"/>
      <c r="H6" s="362"/>
      <c r="I6" s="361">
        <f>E6+1</f>
        <v>2020</v>
      </c>
      <c r="J6" s="721" t="s">
        <v>352</v>
      </c>
      <c r="K6" s="49"/>
    </row>
    <row r="7" spans="1:13" ht="15.75" customHeight="1" x14ac:dyDescent="0.25">
      <c r="A7" s="380" t="s">
        <v>147</v>
      </c>
      <c r="B7" s="379" t="s">
        <v>148</v>
      </c>
      <c r="C7" s="407">
        <v>3791728</v>
      </c>
      <c r="D7" s="93">
        <v>3703465.76</v>
      </c>
      <c r="E7" s="91">
        <f>D7</f>
        <v>3703465.76</v>
      </c>
      <c r="F7" s="367">
        <f>D7-E7</f>
        <v>0</v>
      </c>
      <c r="G7" s="363"/>
      <c r="H7" s="363"/>
      <c r="I7" s="92">
        <v>3988470.25</v>
      </c>
      <c r="J7" s="722"/>
      <c r="K7" s="49"/>
    </row>
    <row r="8" spans="1:13" ht="15.75" customHeight="1" x14ac:dyDescent="0.25">
      <c r="A8" s="380" t="s">
        <v>149</v>
      </c>
      <c r="B8" s="379" t="s">
        <v>148</v>
      </c>
      <c r="C8" s="377">
        <v>117290.4</v>
      </c>
      <c r="D8" s="93">
        <v>175673.19</v>
      </c>
      <c r="E8" s="91">
        <f>D8</f>
        <v>175673.19</v>
      </c>
      <c r="F8" s="367">
        <f t="shared" ref="F8:F16" si="0">D8-E8</f>
        <v>0</v>
      </c>
      <c r="G8" s="363"/>
      <c r="H8" s="363"/>
      <c r="I8" s="92">
        <v>182777.31</v>
      </c>
      <c r="J8" s="722"/>
      <c r="K8" s="49"/>
    </row>
    <row r="9" spans="1:13" ht="15.75" customHeight="1" x14ac:dyDescent="0.25">
      <c r="A9" s="381" t="s">
        <v>66</v>
      </c>
      <c r="B9" s="379" t="s">
        <v>315</v>
      </c>
      <c r="C9" s="359">
        <v>720526</v>
      </c>
      <c r="D9" s="93">
        <v>628691</v>
      </c>
      <c r="E9" s="91">
        <v>0</v>
      </c>
      <c r="F9" s="367">
        <f t="shared" si="0"/>
        <v>628691</v>
      </c>
      <c r="G9" s="363" t="s">
        <v>150</v>
      </c>
      <c r="H9" s="363"/>
      <c r="I9" s="92">
        <v>757078</v>
      </c>
      <c r="J9" s="722"/>
      <c r="K9" s="49"/>
    </row>
    <row r="10" spans="1:13" ht="18" customHeight="1" x14ac:dyDescent="0.25">
      <c r="A10" s="381" t="s">
        <v>321</v>
      </c>
      <c r="B10" s="379" t="s">
        <v>315</v>
      </c>
      <c r="C10" s="359">
        <v>0</v>
      </c>
      <c r="D10" s="93">
        <v>0</v>
      </c>
      <c r="E10" s="91">
        <v>0</v>
      </c>
      <c r="F10" s="367">
        <f t="shared" si="0"/>
        <v>0</v>
      </c>
      <c r="G10" s="717" t="s">
        <v>151</v>
      </c>
      <c r="H10" s="363"/>
      <c r="I10" s="92">
        <v>0</v>
      </c>
      <c r="J10" s="722"/>
      <c r="K10" s="49"/>
    </row>
    <row r="11" spans="1:13" ht="18" customHeight="1" x14ac:dyDescent="0.25">
      <c r="A11" s="380" t="s">
        <v>67</v>
      </c>
      <c r="B11" s="379" t="s">
        <v>148</v>
      </c>
      <c r="C11" s="377">
        <v>-3217.87</v>
      </c>
      <c r="D11" s="93">
        <v>-884.25</v>
      </c>
      <c r="E11" s="91">
        <f>D11</f>
        <v>-884.25</v>
      </c>
      <c r="F11" s="367">
        <f t="shared" si="0"/>
        <v>0</v>
      </c>
      <c r="G11" s="718"/>
      <c r="H11" s="363"/>
      <c r="I11" s="92">
        <v>-549.14</v>
      </c>
      <c r="J11" s="722"/>
      <c r="K11" s="49"/>
    </row>
    <row r="12" spans="1:13" ht="15.75" customHeight="1" x14ac:dyDescent="0.25">
      <c r="A12" s="382" t="s">
        <v>68</v>
      </c>
      <c r="B12" s="378"/>
      <c r="C12" s="360">
        <f>SUM(C7:C11)</f>
        <v>4626326.53</v>
      </c>
      <c r="D12" s="373">
        <f>SUM(D7:D11)</f>
        <v>4506945.6999999993</v>
      </c>
      <c r="E12" s="370">
        <f>SUM(E7:E11)</f>
        <v>3878254.6999999997</v>
      </c>
      <c r="F12" s="367">
        <f t="shared" si="0"/>
        <v>628690.99999999953</v>
      </c>
      <c r="G12" s="718"/>
      <c r="H12" s="364"/>
      <c r="I12" s="360">
        <f>SUM(I7:I11)</f>
        <v>4927776.4200000009</v>
      </c>
      <c r="J12" s="722"/>
      <c r="K12" s="49"/>
    </row>
    <row r="13" spans="1:13" ht="15.75" customHeight="1" x14ac:dyDescent="0.25">
      <c r="A13" s="383"/>
      <c r="B13" s="379"/>
      <c r="C13" s="359"/>
      <c r="D13" s="374"/>
      <c r="E13" s="367"/>
      <c r="F13" s="367"/>
      <c r="G13" s="363"/>
      <c r="H13" s="363"/>
      <c r="I13" s="359"/>
      <c r="J13" s="722"/>
      <c r="K13" s="49"/>
    </row>
    <row r="14" spans="1:13" ht="15.75" customHeight="1" x14ac:dyDescent="0.25">
      <c r="A14" s="380" t="s">
        <v>152</v>
      </c>
      <c r="B14" s="379" t="s">
        <v>148</v>
      </c>
      <c r="C14" s="434">
        <f>-C8+-C9</f>
        <v>-837816.4</v>
      </c>
      <c r="D14" s="435">
        <f>-D8+-D9</f>
        <v>-804364.19</v>
      </c>
      <c r="E14" s="436">
        <f>-E8</f>
        <v>-175673.19</v>
      </c>
      <c r="F14" s="436">
        <f t="shared" si="0"/>
        <v>-628691</v>
      </c>
      <c r="G14" s="363" t="s">
        <v>150</v>
      </c>
      <c r="H14" s="363"/>
      <c r="I14" s="359">
        <f>-I8+-I9</f>
        <v>-939855.31</v>
      </c>
      <c r="J14" s="722"/>
      <c r="K14" s="49"/>
      <c r="M14" s="432"/>
    </row>
    <row r="15" spans="1:13" ht="15.75" customHeight="1" x14ac:dyDescent="0.25">
      <c r="A15" s="383"/>
      <c r="B15" s="379"/>
      <c r="C15" s="359"/>
      <c r="D15" s="374"/>
      <c r="E15" s="367"/>
      <c r="F15" s="367"/>
      <c r="G15" s="719" t="s">
        <v>153</v>
      </c>
      <c r="H15" s="363"/>
      <c r="I15" s="359"/>
      <c r="J15" s="722"/>
      <c r="K15" s="49"/>
      <c r="L15" s="433"/>
      <c r="M15" s="432"/>
    </row>
    <row r="16" spans="1:13" ht="15.75" customHeight="1" thickBot="1" x14ac:dyDescent="0.3">
      <c r="A16" s="382" t="s">
        <v>69</v>
      </c>
      <c r="B16" s="376"/>
      <c r="C16" s="360">
        <f>C12+C14</f>
        <v>3788510.1300000004</v>
      </c>
      <c r="D16" s="375">
        <f>D12+D14</f>
        <v>3702581.5099999993</v>
      </c>
      <c r="E16" s="371">
        <f>E12+E14</f>
        <v>3702581.51</v>
      </c>
      <c r="F16" s="368">
        <f t="shared" si="0"/>
        <v>0</v>
      </c>
      <c r="G16" s="720"/>
      <c r="H16" s="365"/>
      <c r="I16" s="360">
        <f>I12+I14</f>
        <v>3987921.1100000008</v>
      </c>
      <c r="J16" s="722"/>
      <c r="K16" s="49"/>
    </row>
    <row r="17" spans="1:11" ht="15.75" customHeight="1" x14ac:dyDescent="0.25">
      <c r="A17" s="89"/>
      <c r="B17" s="88"/>
      <c r="C17" s="90"/>
      <c r="D17" s="7"/>
      <c r="E17" s="7"/>
      <c r="F17" s="6"/>
      <c r="G17" s="94"/>
      <c r="H17" s="94"/>
      <c r="I17" s="90"/>
      <c r="J17" s="49"/>
      <c r="K17" s="49"/>
    </row>
    <row r="18" spans="1:11" x14ac:dyDescent="0.2">
      <c r="A18" s="14"/>
      <c r="B18" s="14"/>
      <c r="C18" s="14"/>
      <c r="D18" s="14"/>
      <c r="E18" s="14"/>
      <c r="F18" s="14"/>
      <c r="G18" s="14"/>
      <c r="H18" s="14"/>
      <c r="I18" s="14"/>
      <c r="J18" s="14"/>
      <c r="K18" s="49"/>
    </row>
    <row r="19" spans="1:11" x14ac:dyDescent="0.2">
      <c r="A19" s="14"/>
      <c r="B19" s="14"/>
      <c r="C19" s="14"/>
      <c r="D19" s="14"/>
      <c r="E19" s="14"/>
      <c r="F19" s="14"/>
      <c r="G19" s="14"/>
      <c r="H19" s="14"/>
      <c r="I19" s="14"/>
      <c r="J19" s="14"/>
      <c r="K19" s="49"/>
    </row>
    <row r="20" spans="1:11" x14ac:dyDescent="0.2">
      <c r="A20" s="14"/>
      <c r="B20" s="14"/>
      <c r="C20" s="14"/>
      <c r="D20" s="14"/>
      <c r="E20" s="14"/>
      <c r="F20" s="14"/>
      <c r="G20" s="14"/>
      <c r="H20" s="14"/>
      <c r="I20" s="14"/>
      <c r="J20" s="14"/>
      <c r="K20" s="49"/>
    </row>
    <row r="21" spans="1:11" x14ac:dyDescent="0.2">
      <c r="A21" s="49"/>
      <c r="B21" s="49"/>
      <c r="C21" s="49"/>
      <c r="D21" s="49"/>
      <c r="E21" s="49"/>
      <c r="F21" s="49"/>
      <c r="G21" s="49"/>
      <c r="H21" s="49"/>
      <c r="I21" s="49"/>
      <c r="J21" s="49"/>
      <c r="K21" s="49"/>
    </row>
    <row r="22" spans="1:11" x14ac:dyDescent="0.2">
      <c r="A22" s="725" t="s">
        <v>0</v>
      </c>
      <c r="B22" s="725"/>
      <c r="C22" s="725"/>
      <c r="D22" s="725"/>
      <c r="E22" s="725"/>
      <c r="F22" s="725"/>
      <c r="G22" s="725"/>
      <c r="H22" s="725"/>
      <c r="I22" s="725"/>
      <c r="J22" s="725"/>
      <c r="K22" s="725"/>
    </row>
    <row r="23" spans="1:11" ht="15" x14ac:dyDescent="0.2">
      <c r="A23" s="725" t="s">
        <v>1</v>
      </c>
      <c r="B23" s="725"/>
      <c r="C23" s="725"/>
      <c r="D23" s="725"/>
      <c r="E23" s="725"/>
      <c r="F23" s="725"/>
      <c r="G23" s="725"/>
      <c r="H23" s="597"/>
      <c r="I23" s="597"/>
      <c r="J23" s="597"/>
      <c r="K23" s="597"/>
    </row>
    <row r="24" spans="1:11" x14ac:dyDescent="0.2">
      <c r="A24" s="49" t="s">
        <v>84</v>
      </c>
      <c r="B24" s="49"/>
      <c r="C24" s="49"/>
      <c r="D24" s="49"/>
      <c r="E24" s="49"/>
      <c r="F24" s="49"/>
      <c r="G24" s="49"/>
      <c r="H24" s="49"/>
      <c r="I24" s="49"/>
      <c r="J24" s="49"/>
      <c r="K24" s="49"/>
    </row>
    <row r="25" spans="1:11" ht="15" x14ac:dyDescent="0.25">
      <c r="A25" s="54">
        <f>VALUE('INPUT SHEET FOR LAR'!D5)</f>
        <v>711</v>
      </c>
      <c r="B25" s="49"/>
      <c r="C25" s="56" t="s">
        <v>81</v>
      </c>
      <c r="D25" s="723" t="str">
        <f>'INPUT SHEET FOR LAR'!D4</f>
        <v>Tracy Foster</v>
      </c>
      <c r="E25" s="724"/>
      <c r="F25" s="724"/>
      <c r="G25" s="356"/>
      <c r="H25" s="49" t="s">
        <v>104</v>
      </c>
      <c r="I25" s="55">
        <f ca="1">'INPUT SHEET FOR LAR'!D7</f>
        <v>45481</v>
      </c>
      <c r="J25" s="49"/>
      <c r="K25" s="49"/>
    </row>
    <row r="26" spans="1:11" x14ac:dyDescent="0.2">
      <c r="A26" s="49" t="s">
        <v>83</v>
      </c>
      <c r="B26" s="49"/>
      <c r="C26" s="49"/>
      <c r="D26" s="49"/>
      <c r="E26" s="49"/>
      <c r="F26" s="49"/>
      <c r="G26" s="49"/>
      <c r="H26" s="49"/>
      <c r="I26" s="49"/>
      <c r="J26" s="49"/>
      <c r="K26" s="49"/>
    </row>
    <row r="27" spans="1:11" x14ac:dyDescent="0.2">
      <c r="A27" s="54" t="str">
        <f>'INPUT SHEET FOR LAR'!D6</f>
        <v>University Name</v>
      </c>
      <c r="B27" s="56"/>
      <c r="C27" s="56" t="s">
        <v>2</v>
      </c>
      <c r="D27" s="56" t="s">
        <v>2</v>
      </c>
      <c r="E27" s="56" t="s">
        <v>4</v>
      </c>
      <c r="F27" s="56" t="s">
        <v>5</v>
      </c>
      <c r="G27" s="56"/>
      <c r="H27" s="56" t="s">
        <v>5</v>
      </c>
      <c r="I27" s="49"/>
      <c r="J27" s="49"/>
      <c r="K27" s="49"/>
    </row>
    <row r="28" spans="1:11" x14ac:dyDescent="0.2">
      <c r="A28" s="56" t="s">
        <v>6</v>
      </c>
      <c r="B28" s="397" t="s">
        <v>314</v>
      </c>
      <c r="C28" s="56">
        <f>D28-1</f>
        <v>2019</v>
      </c>
      <c r="D28" s="56">
        <f>E28-1</f>
        <v>2020</v>
      </c>
      <c r="E28" s="56">
        <f>F28-1</f>
        <v>2021</v>
      </c>
      <c r="F28" s="56">
        <f>H28-1</f>
        <v>2022</v>
      </c>
      <c r="G28" s="56"/>
      <c r="H28" s="56">
        <f>'INPUT SHEET FOR LAR'!D3</f>
        <v>2023</v>
      </c>
      <c r="I28" s="49" t="s">
        <v>7</v>
      </c>
      <c r="J28" s="49"/>
      <c r="K28" s="49"/>
    </row>
    <row r="29" spans="1:11" x14ac:dyDescent="0.2">
      <c r="A29" s="49"/>
      <c r="B29" s="49"/>
      <c r="C29" s="57"/>
      <c r="D29" s="57"/>
      <c r="E29" s="57"/>
      <c r="F29" s="49"/>
      <c r="G29" s="49"/>
      <c r="H29" s="49"/>
      <c r="I29" s="49"/>
      <c r="J29" s="49"/>
      <c r="K29" s="49"/>
    </row>
    <row r="30" spans="1:11" x14ac:dyDescent="0.2">
      <c r="A30" s="49" t="s">
        <v>8</v>
      </c>
      <c r="B30" s="49"/>
      <c r="C30" s="15"/>
      <c r="D30" s="15"/>
      <c r="E30" s="15"/>
      <c r="F30" s="49"/>
      <c r="G30" s="49"/>
      <c r="H30" s="49"/>
      <c r="I30" s="49"/>
      <c r="J30" s="49"/>
      <c r="K30" s="49"/>
    </row>
    <row r="31" spans="1:11" ht="15" customHeight="1" x14ac:dyDescent="0.25">
      <c r="A31" s="49" t="s">
        <v>9</v>
      </c>
      <c r="B31" s="379" t="s">
        <v>316</v>
      </c>
      <c r="C31" s="384">
        <f>D12*0.74</f>
        <v>3335139.8179999995</v>
      </c>
      <c r="D31" s="414">
        <f>I12*0.76</f>
        <v>3745110.0792000005</v>
      </c>
      <c r="E31" s="384">
        <f>E33*0.78</f>
        <v>4027903.62</v>
      </c>
      <c r="F31" s="448">
        <f>E31*(1+'INPUT SHEET FOR LAR'!$D$28)</f>
        <v>4068182.6562000001</v>
      </c>
      <c r="G31" s="49"/>
      <c r="H31" s="448">
        <f>F31*(1+'INPUT SHEET FOR LAR'!$D$28)</f>
        <v>4108864.4827620001</v>
      </c>
      <c r="I31" s="714" t="s">
        <v>143</v>
      </c>
      <c r="J31" s="713"/>
      <c r="K31" s="49"/>
    </row>
    <row r="32" spans="1:11" ht="15" x14ac:dyDescent="0.25">
      <c r="A32" s="49" t="s">
        <v>10</v>
      </c>
      <c r="B32" s="379" t="s">
        <v>316</v>
      </c>
      <c r="C32" s="385">
        <f>D12*0.26</f>
        <v>1171805.8819999998</v>
      </c>
      <c r="D32" s="385">
        <f>I12*0.24</f>
        <v>1182666.3408000001</v>
      </c>
      <c r="E32" s="385">
        <f>E33-E31</f>
        <v>1136075.3799999999</v>
      </c>
      <c r="F32" s="448">
        <f>E32*(1+'INPUT SHEET FOR LAR'!$D$28)</f>
        <v>1147436.1338</v>
      </c>
      <c r="G32" s="49"/>
      <c r="H32" s="448">
        <f>F32*(1+'INPUT SHEET FOR LAR'!$D$28)</f>
        <v>1158910.495138</v>
      </c>
      <c r="I32" s="714"/>
      <c r="J32" s="713"/>
      <c r="K32" s="49"/>
    </row>
    <row r="33" spans="1:11" ht="27" customHeight="1" x14ac:dyDescent="0.25">
      <c r="A33" s="49" t="s">
        <v>11</v>
      </c>
      <c r="B33" s="379" t="s">
        <v>145</v>
      </c>
      <c r="C33" s="15">
        <f>IF(D12-SUM(C30:C32)=0,D12,FALSE)</f>
        <v>4506945.6999999993</v>
      </c>
      <c r="D33" s="15">
        <f>IF(I12-SUM(D31:D32)=0,I12,FALSE)</f>
        <v>4927776.4200000009</v>
      </c>
      <c r="E33" s="15">
        <v>5163979</v>
      </c>
      <c r="F33" s="449">
        <f>SUM(F31:F32)</f>
        <v>5215618.79</v>
      </c>
      <c r="G33" s="49"/>
      <c r="H33" s="449">
        <f>SUM(H31:H32)</f>
        <v>5267774.9779000003</v>
      </c>
      <c r="I33" s="714" t="s">
        <v>335</v>
      </c>
      <c r="J33" s="713"/>
      <c r="K33" s="713"/>
    </row>
    <row r="34" spans="1:11" ht="27" customHeight="1" outlineLevel="1" x14ac:dyDescent="0.25">
      <c r="A34" s="449" t="s">
        <v>358</v>
      </c>
      <c r="B34" s="449"/>
      <c r="C34" s="450">
        <v>-472354.19</v>
      </c>
      <c r="D34" s="451">
        <v>-579901.28</v>
      </c>
      <c r="E34" s="453">
        <v>-530000</v>
      </c>
      <c r="F34" s="453">
        <v>-556500</v>
      </c>
      <c r="G34" s="49"/>
      <c r="H34" s="453">
        <f>F34*(1+'INPUT SHEET FOR LAR'!$D$28)</f>
        <v>-562065</v>
      </c>
      <c r="I34" s="423"/>
      <c r="J34" s="424"/>
      <c r="K34" s="424"/>
    </row>
    <row r="35" spans="1:11" ht="27" customHeight="1" outlineLevel="1" x14ac:dyDescent="0.25">
      <c r="A35" s="449" t="s">
        <v>359</v>
      </c>
      <c r="B35" s="449"/>
      <c r="C35" s="450">
        <v>-165962</v>
      </c>
      <c r="D35" s="451">
        <v>-183126.72</v>
      </c>
      <c r="E35" s="453">
        <v>-167000</v>
      </c>
      <c r="F35" s="453">
        <v>-175350</v>
      </c>
      <c r="G35" s="49"/>
      <c r="H35" s="453">
        <f>F35*(1+'INPUT SHEET FOR LAR'!$D$28)</f>
        <v>-177103.5</v>
      </c>
      <c r="I35" s="423"/>
      <c r="J35" s="424"/>
      <c r="K35" s="424"/>
    </row>
    <row r="36" spans="1:11" ht="27" customHeight="1" outlineLevel="1" x14ac:dyDescent="0.25">
      <c r="A36" s="449" t="s">
        <v>360</v>
      </c>
      <c r="B36" s="449"/>
      <c r="C36" s="452">
        <v>-166048</v>
      </c>
      <c r="D36" s="451">
        <v>-176827.31</v>
      </c>
      <c r="E36" s="453">
        <v>-174000</v>
      </c>
      <c r="F36" s="453">
        <v>-182700</v>
      </c>
      <c r="G36" s="49"/>
      <c r="H36" s="453">
        <f>F36*(1+'INPUT SHEET FOR LAR'!$D$28)</f>
        <v>-184527</v>
      </c>
      <c r="I36" s="423"/>
      <c r="J36" s="424"/>
      <c r="K36" s="424"/>
    </row>
    <row r="37" spans="1:11" ht="27" customHeight="1" x14ac:dyDescent="0.2">
      <c r="A37" s="49" t="s">
        <v>365</v>
      </c>
      <c r="B37" s="379" t="s">
        <v>145</v>
      </c>
      <c r="C37" s="15">
        <f>IF(D14-SUM(C34:C36)=0,D14,FALSE)</f>
        <v>-804364.19</v>
      </c>
      <c r="D37" s="15">
        <f>IF(I14-SUM(D34:D36)=0,I14,FALSE)</f>
        <v>-939855.31</v>
      </c>
      <c r="E37" s="15">
        <f>SUM(E34:E36)</f>
        <v>-871000</v>
      </c>
      <c r="F37" s="15">
        <f>SUM(F34:F36)</f>
        <v>-914550</v>
      </c>
      <c r="G37" s="49"/>
      <c r="H37" s="15">
        <f>SUM(H34:H36)</f>
        <v>-923695.5</v>
      </c>
      <c r="I37" s="714" t="s">
        <v>336</v>
      </c>
      <c r="J37" s="713"/>
      <c r="K37" s="713"/>
    </row>
    <row r="38" spans="1:11" x14ac:dyDescent="0.2">
      <c r="A38" s="49" t="s">
        <v>12</v>
      </c>
      <c r="B38" s="49"/>
      <c r="C38" s="15"/>
      <c r="D38" s="430"/>
      <c r="E38" s="15"/>
      <c r="F38" s="15"/>
      <c r="G38" s="49"/>
      <c r="H38" s="15"/>
      <c r="I38" s="49"/>
      <c r="J38" s="49"/>
      <c r="K38" s="49"/>
    </row>
    <row r="39" spans="1:11" x14ac:dyDescent="0.2">
      <c r="A39" s="49" t="s">
        <v>13</v>
      </c>
      <c r="B39" s="49"/>
      <c r="C39" s="15"/>
      <c r="D39" s="430"/>
      <c r="E39" s="15"/>
      <c r="F39" s="15"/>
      <c r="G39" s="49"/>
      <c r="H39" s="15"/>
      <c r="I39" s="49"/>
      <c r="J39" s="49"/>
      <c r="K39" s="49"/>
    </row>
    <row r="40" spans="1:11" ht="15" x14ac:dyDescent="0.25">
      <c r="A40" s="49" t="s">
        <v>14</v>
      </c>
      <c r="B40" s="379" t="s">
        <v>512</v>
      </c>
      <c r="C40" s="414">
        <v>-105710</v>
      </c>
      <c r="D40" s="414">
        <v>-140180</v>
      </c>
      <c r="E40" s="414">
        <v>-123739</v>
      </c>
      <c r="F40" s="414">
        <f>E40*1.05</f>
        <v>-129925.95000000001</v>
      </c>
      <c r="G40" s="49"/>
      <c r="H40" s="414">
        <f>-136422</f>
        <v>-136422</v>
      </c>
      <c r="I40" s="49" t="s">
        <v>337</v>
      </c>
      <c r="J40" s="49"/>
      <c r="K40" s="49"/>
    </row>
    <row r="41" spans="1:11" ht="14.25" x14ac:dyDescent="0.2">
      <c r="A41" s="49" t="s">
        <v>71</v>
      </c>
      <c r="B41" s="49"/>
      <c r="C41" s="15"/>
      <c r="D41" s="430"/>
      <c r="E41" s="15"/>
      <c r="F41" s="15"/>
      <c r="G41" s="49"/>
      <c r="H41" s="15"/>
      <c r="I41" s="49"/>
      <c r="J41" s="49"/>
      <c r="K41" s="49"/>
    </row>
    <row r="42" spans="1:11" x14ac:dyDescent="0.2">
      <c r="A42" s="49" t="s">
        <v>15</v>
      </c>
      <c r="B42" s="49"/>
      <c r="C42" s="15"/>
      <c r="D42" s="430"/>
      <c r="E42" s="15"/>
      <c r="F42" s="15"/>
      <c r="G42" s="49"/>
      <c r="H42" s="15"/>
      <c r="I42" s="49"/>
      <c r="J42" s="49"/>
      <c r="K42" s="49"/>
    </row>
    <row r="43" spans="1:11" ht="15" x14ac:dyDescent="0.25">
      <c r="A43" s="49" t="s">
        <v>16</v>
      </c>
      <c r="B43" s="379" t="s">
        <v>315</v>
      </c>
      <c r="C43" s="414">
        <v>0</v>
      </c>
      <c r="D43" s="386"/>
      <c r="E43" s="386"/>
      <c r="F43" s="386">
        <v>0</v>
      </c>
      <c r="G43" s="49"/>
      <c r="H43" s="386">
        <v>0</v>
      </c>
      <c r="I43" s="49"/>
      <c r="J43" s="49"/>
      <c r="K43" s="49"/>
    </row>
    <row r="44" spans="1:11" x14ac:dyDescent="0.2">
      <c r="A44" s="49" t="s">
        <v>17</v>
      </c>
      <c r="B44" s="49"/>
      <c r="C44" s="15"/>
      <c r="D44" s="430"/>
      <c r="E44" s="15"/>
      <c r="F44" s="15"/>
      <c r="G44" s="49"/>
      <c r="H44" s="15"/>
      <c r="I44" s="49"/>
      <c r="J44" s="49"/>
      <c r="K44" s="49"/>
    </row>
    <row r="45" spans="1:11" x14ac:dyDescent="0.2">
      <c r="A45" s="49" t="s">
        <v>18</v>
      </c>
      <c r="B45" s="49"/>
      <c r="C45" s="15"/>
      <c r="D45" s="430"/>
      <c r="E45" s="15"/>
      <c r="F45" s="15"/>
      <c r="G45" s="15"/>
      <c r="H45" s="15"/>
      <c r="I45" s="49"/>
      <c r="J45" s="49"/>
      <c r="K45" s="49"/>
    </row>
    <row r="46" spans="1:11" ht="15" x14ac:dyDescent="0.25">
      <c r="A46" s="49" t="s">
        <v>72</v>
      </c>
      <c r="B46" s="379" t="s">
        <v>315</v>
      </c>
      <c r="C46" s="535"/>
      <c r="D46" s="535"/>
      <c r="E46" s="535"/>
      <c r="F46" s="535">
        <f>E46*1.09</f>
        <v>0</v>
      </c>
      <c r="G46" s="49"/>
      <c r="H46" s="535">
        <f>F46*1.09</f>
        <v>0</v>
      </c>
      <c r="I46" s="49" t="s">
        <v>537</v>
      </c>
      <c r="J46" s="49"/>
      <c r="K46" s="49"/>
    </row>
    <row r="47" spans="1:11" ht="15" customHeight="1" x14ac:dyDescent="0.25">
      <c r="A47" s="49" t="s">
        <v>19</v>
      </c>
      <c r="B47" s="379" t="s">
        <v>315</v>
      </c>
      <c r="C47" s="414">
        <v>0</v>
      </c>
      <c r="D47" s="386">
        <v>0</v>
      </c>
      <c r="E47" s="414">
        <v>0</v>
      </c>
      <c r="F47" s="414">
        <v>0</v>
      </c>
      <c r="G47" s="49"/>
      <c r="H47" s="414">
        <v>0</v>
      </c>
      <c r="I47" s="713" t="s">
        <v>20</v>
      </c>
      <c r="J47" s="713"/>
      <c r="K47" s="713"/>
    </row>
    <row r="48" spans="1:11" ht="12.75" customHeight="1" x14ac:dyDescent="0.2">
      <c r="A48" s="49" t="s">
        <v>21</v>
      </c>
      <c r="B48" s="49"/>
      <c r="C48" s="15"/>
      <c r="D48" s="430"/>
      <c r="E48" s="15"/>
      <c r="F48" s="15"/>
      <c r="G48" s="15"/>
      <c r="H48" s="15"/>
      <c r="I48" s="713"/>
      <c r="J48" s="713"/>
      <c r="K48" s="713"/>
    </row>
    <row r="49" spans="1:11" ht="15" x14ac:dyDescent="0.25">
      <c r="A49" s="49" t="s">
        <v>22</v>
      </c>
      <c r="B49" s="379" t="s">
        <v>315</v>
      </c>
      <c r="C49" s="453">
        <v>-31562</v>
      </c>
      <c r="D49" s="453">
        <v>-26328</v>
      </c>
      <c r="E49" s="453">
        <v>-26526</v>
      </c>
      <c r="F49" s="453">
        <v>-28913.340000000004</v>
      </c>
      <c r="G49" s="49"/>
      <c r="H49" s="453">
        <v>-31516</v>
      </c>
      <c r="I49" s="49" t="s">
        <v>534</v>
      </c>
      <c r="J49" s="49"/>
      <c r="K49" s="49"/>
    </row>
    <row r="50" spans="1:11" x14ac:dyDescent="0.2">
      <c r="A50" s="49" t="s">
        <v>23</v>
      </c>
      <c r="B50" s="49"/>
      <c r="C50" s="15"/>
      <c r="D50" s="15"/>
      <c r="E50" s="15"/>
      <c r="F50" s="15"/>
      <c r="G50" s="49"/>
      <c r="H50" s="15"/>
      <c r="I50" s="49" t="s">
        <v>536</v>
      </c>
      <c r="J50" s="49"/>
      <c r="K50" s="49"/>
    </row>
    <row r="51" spans="1:11" x14ac:dyDescent="0.2">
      <c r="A51" s="49" t="s">
        <v>24</v>
      </c>
      <c r="B51" s="49"/>
      <c r="C51" s="15"/>
      <c r="D51" s="15"/>
      <c r="E51" s="15"/>
      <c r="F51" s="15"/>
      <c r="G51" s="49"/>
      <c r="H51" s="15"/>
      <c r="I51" s="49"/>
      <c r="J51" s="49"/>
      <c r="K51" s="49"/>
    </row>
    <row r="52" spans="1:11" x14ac:dyDescent="0.2">
      <c r="A52" s="49" t="s">
        <v>25</v>
      </c>
      <c r="B52" s="49"/>
      <c r="C52" s="15"/>
      <c r="D52" s="15"/>
      <c r="E52" s="15"/>
      <c r="F52" s="15"/>
      <c r="G52" s="49"/>
      <c r="H52" s="15"/>
      <c r="I52" s="49"/>
      <c r="J52" s="49"/>
      <c r="K52" s="49"/>
    </row>
    <row r="53" spans="1:11" x14ac:dyDescent="0.2">
      <c r="A53" s="49" t="s">
        <v>26</v>
      </c>
      <c r="B53" s="49"/>
      <c r="C53" s="15"/>
      <c r="D53" s="15"/>
      <c r="E53" s="15"/>
      <c r="F53" s="15"/>
      <c r="G53" s="49"/>
      <c r="H53" s="15"/>
      <c r="I53" s="49"/>
      <c r="J53" s="49"/>
      <c r="K53" s="49"/>
    </row>
    <row r="54" spans="1:11" ht="14.25" x14ac:dyDescent="0.2">
      <c r="A54" s="49" t="s">
        <v>73</v>
      </c>
      <c r="B54" s="49"/>
      <c r="C54" s="15"/>
      <c r="D54" s="15"/>
      <c r="E54" s="15"/>
      <c r="F54" s="15"/>
      <c r="G54" s="49"/>
      <c r="H54" s="15"/>
      <c r="I54" s="49"/>
      <c r="J54" s="49"/>
      <c r="K54" s="49"/>
    </row>
    <row r="55" spans="1:11" x14ac:dyDescent="0.2">
      <c r="A55" s="49" t="s">
        <v>27</v>
      </c>
      <c r="B55" s="49"/>
      <c r="C55" s="15">
        <f>C33+C37+C40+C43+C46+C47+C49</f>
        <v>3565309.5099999993</v>
      </c>
      <c r="D55" s="15">
        <f>D33+D37+D40+D43+D46+D47+D49</f>
        <v>3821413.1100000008</v>
      </c>
      <c r="E55" s="15">
        <f>E33+E37+E40+E43+E46+E47+E49</f>
        <v>4142714</v>
      </c>
      <c r="F55" s="15">
        <f>F33+F37+F40+F43+F46+F47+F49</f>
        <v>4142229.5</v>
      </c>
      <c r="G55" s="49"/>
      <c r="H55" s="15">
        <f>H33+H37+H40+H43+H46+H47+H49</f>
        <v>4176141.4779000003</v>
      </c>
      <c r="I55" s="49"/>
      <c r="J55" s="49"/>
      <c r="K55" s="49"/>
    </row>
    <row r="56" spans="1:11" x14ac:dyDescent="0.2">
      <c r="A56" s="49" t="s">
        <v>28</v>
      </c>
      <c r="B56" s="49"/>
      <c r="C56" s="15"/>
      <c r="D56" s="15"/>
      <c r="E56" s="15"/>
      <c r="F56" s="15"/>
      <c r="G56" s="49"/>
      <c r="H56" s="15"/>
      <c r="I56" s="49"/>
      <c r="J56" s="49"/>
      <c r="K56" s="49"/>
    </row>
    <row r="57" spans="1:11" ht="15" x14ac:dyDescent="0.25">
      <c r="A57" s="49" t="s">
        <v>74</v>
      </c>
      <c r="B57" s="49"/>
      <c r="C57" s="396">
        <v>0</v>
      </c>
      <c r="D57" s="396">
        <v>0</v>
      </c>
      <c r="E57" s="396">
        <v>0</v>
      </c>
      <c r="F57" s="396">
        <v>0</v>
      </c>
      <c r="G57" s="49"/>
      <c r="H57" s="396">
        <v>0</v>
      </c>
      <c r="I57" s="49" t="s">
        <v>338</v>
      </c>
      <c r="J57" s="49"/>
      <c r="K57" s="49"/>
    </row>
    <row r="58" spans="1:11" x14ac:dyDescent="0.2">
      <c r="A58" s="49" t="s">
        <v>29</v>
      </c>
      <c r="B58" s="49"/>
      <c r="C58" s="15"/>
      <c r="D58" s="15"/>
      <c r="E58" s="15"/>
      <c r="F58" s="15"/>
      <c r="G58" s="49"/>
      <c r="H58" s="15"/>
      <c r="I58" s="49"/>
      <c r="J58" s="49"/>
      <c r="K58" s="49"/>
    </row>
    <row r="59" spans="1:11" ht="15" x14ac:dyDescent="0.25">
      <c r="A59" s="49" t="s">
        <v>30</v>
      </c>
      <c r="B59" s="379" t="s">
        <v>315</v>
      </c>
      <c r="C59" s="414">
        <v>-372294.35</v>
      </c>
      <c r="D59" s="414">
        <v>-417907.43</v>
      </c>
      <c r="E59" s="414">
        <v>-387151</v>
      </c>
      <c r="F59" s="414">
        <v>-450000</v>
      </c>
      <c r="G59" s="49"/>
      <c r="H59" s="414">
        <v>-450000</v>
      </c>
      <c r="I59" s="49"/>
      <c r="J59" s="49"/>
      <c r="K59" s="49"/>
    </row>
    <row r="60" spans="1:11" ht="14.25" x14ac:dyDescent="0.2">
      <c r="A60" s="49" t="s">
        <v>75</v>
      </c>
      <c r="B60" s="49"/>
      <c r="C60" s="15"/>
      <c r="D60" s="15"/>
      <c r="E60" s="15"/>
      <c r="F60" s="15"/>
      <c r="G60" s="49"/>
      <c r="H60" s="15"/>
      <c r="I60" s="49"/>
      <c r="J60" s="49"/>
      <c r="K60" s="49"/>
    </row>
    <row r="61" spans="1:11" ht="15" x14ac:dyDescent="0.25">
      <c r="A61" s="49" t="s">
        <v>31</v>
      </c>
      <c r="B61" s="49"/>
      <c r="C61" s="386">
        <v>0</v>
      </c>
      <c r="D61" s="386">
        <v>0</v>
      </c>
      <c r="E61" s="386">
        <v>0</v>
      </c>
      <c r="F61" s="386">
        <v>0</v>
      </c>
      <c r="G61" s="49"/>
      <c r="H61" s="386">
        <v>0</v>
      </c>
      <c r="I61" s="49" t="s">
        <v>419</v>
      </c>
      <c r="J61" s="49"/>
      <c r="K61" s="49"/>
    </row>
    <row r="62" spans="1:11" ht="15" x14ac:dyDescent="0.25">
      <c r="A62" s="49" t="s">
        <v>32</v>
      </c>
      <c r="B62" s="49"/>
      <c r="C62" s="396">
        <v>0</v>
      </c>
      <c r="D62" s="396">
        <v>0</v>
      </c>
      <c r="E62" s="396">
        <v>0</v>
      </c>
      <c r="F62" s="396">
        <v>0</v>
      </c>
      <c r="G62" s="49"/>
      <c r="H62" s="396">
        <v>0</v>
      </c>
      <c r="I62" s="49" t="s">
        <v>317</v>
      </c>
      <c r="J62" s="49"/>
      <c r="K62" s="49"/>
    </row>
    <row r="63" spans="1:11" x14ac:dyDescent="0.2">
      <c r="A63" s="49" t="s">
        <v>33</v>
      </c>
      <c r="B63" s="49"/>
      <c r="C63" s="15"/>
      <c r="D63" s="15"/>
      <c r="E63" s="15"/>
      <c r="F63" s="15"/>
      <c r="G63" s="49"/>
      <c r="H63" s="15"/>
      <c r="I63" s="49"/>
      <c r="J63" s="49"/>
      <c r="K63" s="49"/>
    </row>
    <row r="64" spans="1:11" x14ac:dyDescent="0.2">
      <c r="A64" s="49" t="s">
        <v>34</v>
      </c>
      <c r="B64" s="49"/>
      <c r="C64" s="15"/>
      <c r="D64" s="15"/>
      <c r="E64" s="15"/>
      <c r="F64" s="15"/>
      <c r="G64" s="49"/>
      <c r="H64" s="15"/>
      <c r="I64" s="49"/>
      <c r="J64" s="49"/>
      <c r="K64" s="49"/>
    </row>
    <row r="65" spans="1:11" ht="15" x14ac:dyDescent="0.25">
      <c r="A65" s="49" t="s">
        <v>35</v>
      </c>
      <c r="B65" s="379" t="s">
        <v>315</v>
      </c>
      <c r="C65" s="386">
        <v>0</v>
      </c>
      <c r="D65" s="386">
        <v>0</v>
      </c>
      <c r="E65" s="386">
        <v>0</v>
      </c>
      <c r="F65" s="396">
        <v>0</v>
      </c>
      <c r="G65" s="49"/>
      <c r="H65" s="396">
        <v>0</v>
      </c>
      <c r="I65" s="49" t="s">
        <v>364</v>
      </c>
      <c r="J65" s="49"/>
      <c r="K65" s="49"/>
    </row>
    <row r="66" spans="1:11" x14ac:dyDescent="0.2">
      <c r="A66" s="49" t="s">
        <v>36</v>
      </c>
      <c r="B66" s="49"/>
      <c r="C66" s="15"/>
      <c r="D66" s="15"/>
      <c r="E66" s="15"/>
      <c r="F66" s="15"/>
      <c r="G66" s="49"/>
      <c r="H66" s="15"/>
      <c r="I66" s="49"/>
      <c r="J66" s="49"/>
      <c r="K66" s="49"/>
    </row>
    <row r="67" spans="1:11" x14ac:dyDescent="0.2">
      <c r="A67" s="49" t="s">
        <v>37</v>
      </c>
      <c r="B67" s="49"/>
      <c r="C67" s="15"/>
      <c r="D67" s="15"/>
      <c r="E67" s="15"/>
      <c r="F67" s="15"/>
      <c r="G67" s="49"/>
      <c r="H67" s="15"/>
      <c r="I67" s="49"/>
      <c r="J67" s="49"/>
      <c r="K67" s="49"/>
    </row>
    <row r="68" spans="1:11" x14ac:dyDescent="0.2">
      <c r="A68" s="49" t="s">
        <v>38</v>
      </c>
      <c r="B68" s="49"/>
      <c r="C68" s="15"/>
      <c r="D68" s="15"/>
      <c r="E68" s="15"/>
      <c r="F68" s="15"/>
      <c r="G68" s="49"/>
      <c r="H68" s="15"/>
      <c r="I68" s="49"/>
      <c r="J68" s="49"/>
      <c r="K68" s="49"/>
    </row>
    <row r="69" spans="1:11" x14ac:dyDescent="0.2">
      <c r="A69" s="49" t="s">
        <v>39</v>
      </c>
      <c r="B69" s="49"/>
      <c r="C69" s="15"/>
      <c r="D69" s="15"/>
      <c r="E69" s="15"/>
      <c r="F69" s="15"/>
      <c r="G69" s="49"/>
      <c r="H69" s="15"/>
      <c r="I69" s="49"/>
      <c r="J69" s="49"/>
      <c r="K69" s="49"/>
    </row>
    <row r="70" spans="1:11" x14ac:dyDescent="0.2">
      <c r="A70" s="49" t="s">
        <v>40</v>
      </c>
      <c r="B70" s="49"/>
      <c r="C70" s="15">
        <f>SUM(C55:C69)</f>
        <v>3193015.1599999992</v>
      </c>
      <c r="D70" s="15">
        <f>SUM(D55:D69)</f>
        <v>3403505.6800000006</v>
      </c>
      <c r="E70" s="15">
        <f t="shared" ref="E70:H70" si="1">SUM(E55:E69)</f>
        <v>3755563</v>
      </c>
      <c r="F70" s="15">
        <f t="shared" si="1"/>
        <v>3692229.5</v>
      </c>
      <c r="G70" s="49"/>
      <c r="H70" s="15">
        <f t="shared" si="1"/>
        <v>3726141.4779000003</v>
      </c>
      <c r="I70" s="49"/>
      <c r="J70" s="49"/>
      <c r="K70" s="49"/>
    </row>
    <row r="71" spans="1:11" x14ac:dyDescent="0.2">
      <c r="A71" s="49" t="s">
        <v>41</v>
      </c>
      <c r="B71" s="49"/>
      <c r="C71" s="15"/>
      <c r="D71" s="15"/>
      <c r="E71" s="15"/>
      <c r="F71" s="15"/>
      <c r="G71" s="49"/>
      <c r="H71" s="15"/>
      <c r="I71" s="49"/>
      <c r="J71" s="49"/>
      <c r="K71" s="49"/>
    </row>
    <row r="72" spans="1:11" x14ac:dyDescent="0.2">
      <c r="A72" s="49" t="s">
        <v>42</v>
      </c>
      <c r="B72" s="49"/>
      <c r="C72" s="15"/>
      <c r="D72" s="15"/>
      <c r="E72" s="15"/>
      <c r="F72" s="15"/>
      <c r="G72" s="49"/>
      <c r="H72" s="15"/>
      <c r="I72" s="49"/>
      <c r="J72" s="49"/>
      <c r="K72" s="49"/>
    </row>
    <row r="73" spans="1:11" ht="15" x14ac:dyDescent="0.25">
      <c r="A73" s="49" t="s">
        <v>366</v>
      </c>
      <c r="B73" s="379" t="s">
        <v>315</v>
      </c>
      <c r="C73" s="384">
        <v>101309</v>
      </c>
      <c r="D73" s="384">
        <v>107995</v>
      </c>
      <c r="E73" s="384">
        <v>115000</v>
      </c>
      <c r="F73" s="384">
        <f>E73</f>
        <v>115000</v>
      </c>
      <c r="G73" s="49"/>
      <c r="H73" s="384">
        <f>F73</f>
        <v>115000</v>
      </c>
      <c r="I73" s="49" t="s">
        <v>339</v>
      </c>
      <c r="J73" s="49"/>
      <c r="K73" s="49"/>
    </row>
    <row r="74" spans="1:11" x14ac:dyDescent="0.2">
      <c r="A74" s="49"/>
      <c r="B74" s="49"/>
      <c r="C74" s="15"/>
      <c r="D74" s="15"/>
      <c r="E74" s="15"/>
      <c r="F74" s="15"/>
      <c r="G74" s="49"/>
      <c r="H74" s="15"/>
      <c r="I74" s="49"/>
      <c r="J74" s="49"/>
      <c r="K74" s="49"/>
    </row>
    <row r="75" spans="1:11" x14ac:dyDescent="0.2">
      <c r="A75" s="49" t="s">
        <v>43</v>
      </c>
      <c r="B75" s="49"/>
      <c r="C75" s="15">
        <f>C70+C73</f>
        <v>3294324.1599999992</v>
      </c>
      <c r="D75" s="15">
        <f t="shared" ref="D75:H75" si="2">D70+D73</f>
        <v>3511500.6800000006</v>
      </c>
      <c r="E75" s="15">
        <f t="shared" si="2"/>
        <v>3870563</v>
      </c>
      <c r="F75" s="15">
        <f t="shared" si="2"/>
        <v>3807229.5</v>
      </c>
      <c r="G75" s="49"/>
      <c r="H75" s="15">
        <f t="shared" si="2"/>
        <v>3841141.4779000003</v>
      </c>
      <c r="I75" s="49"/>
      <c r="J75" s="49"/>
      <c r="K75" s="49"/>
    </row>
    <row r="76" spans="1:11" x14ac:dyDescent="0.2">
      <c r="A76" s="49"/>
      <c r="B76" s="49"/>
      <c r="C76" s="15"/>
      <c r="D76" s="15"/>
      <c r="E76" s="15"/>
      <c r="F76" s="15"/>
      <c r="G76" s="49"/>
      <c r="H76" s="15"/>
      <c r="I76" s="49"/>
      <c r="J76" s="49"/>
      <c r="K76" s="49"/>
    </row>
    <row r="77" spans="1:11" x14ac:dyDescent="0.2">
      <c r="A77" s="49" t="s">
        <v>44</v>
      </c>
      <c r="B77" s="49"/>
      <c r="C77" s="15"/>
      <c r="D77" s="15"/>
      <c r="E77" s="15"/>
      <c r="F77" s="15"/>
      <c r="G77" s="49"/>
      <c r="H77" s="15"/>
      <c r="I77" s="49"/>
      <c r="J77" s="49"/>
      <c r="K77" s="49"/>
    </row>
    <row r="78" spans="1:11" x14ac:dyDescent="0.2">
      <c r="A78" s="49"/>
      <c r="B78" s="49"/>
      <c r="C78" s="15"/>
      <c r="D78" s="15"/>
      <c r="E78" s="15"/>
      <c r="F78" s="15"/>
      <c r="G78" s="49"/>
      <c r="H78" s="15"/>
      <c r="I78" s="49"/>
      <c r="J78" s="49"/>
      <c r="K78" s="49"/>
    </row>
    <row r="79" spans="1:11" x14ac:dyDescent="0.2">
      <c r="A79" s="49" t="s">
        <v>45</v>
      </c>
      <c r="B79" s="49"/>
      <c r="C79" s="15"/>
      <c r="D79" s="15"/>
      <c r="E79" s="15"/>
      <c r="F79" s="15"/>
      <c r="G79" s="15"/>
      <c r="H79" s="15"/>
      <c r="I79" s="49"/>
      <c r="J79" s="49"/>
      <c r="K79" s="49"/>
    </row>
    <row r="80" spans="1:11" ht="15" x14ac:dyDescent="0.25">
      <c r="A80" s="49" t="s">
        <v>46</v>
      </c>
      <c r="B80" s="379" t="s">
        <v>315</v>
      </c>
      <c r="C80" s="384">
        <v>235004</v>
      </c>
      <c r="D80" s="384">
        <v>243000</v>
      </c>
      <c r="E80" s="384">
        <v>255000</v>
      </c>
      <c r="F80" s="384">
        <v>262650</v>
      </c>
      <c r="G80" s="49"/>
      <c r="H80" s="384">
        <v>270530</v>
      </c>
      <c r="I80" s="49" t="s">
        <v>340</v>
      </c>
      <c r="J80" s="49"/>
      <c r="K80" s="49"/>
    </row>
    <row r="81" spans="1:11" ht="15" x14ac:dyDescent="0.25">
      <c r="A81" s="49" t="s">
        <v>47</v>
      </c>
      <c r="B81" s="379" t="s">
        <v>315</v>
      </c>
      <c r="C81" s="384">
        <v>0</v>
      </c>
      <c r="D81" s="384">
        <v>0</v>
      </c>
      <c r="E81" s="384">
        <v>0</v>
      </c>
      <c r="F81" s="384">
        <v>0</v>
      </c>
      <c r="G81" s="49"/>
      <c r="H81" s="384">
        <v>0</v>
      </c>
      <c r="I81" s="49" t="s">
        <v>341</v>
      </c>
      <c r="J81" s="49"/>
      <c r="K81" s="49"/>
    </row>
    <row r="82" spans="1:11" x14ac:dyDescent="0.2">
      <c r="A82" s="49"/>
      <c r="B82" s="49"/>
      <c r="C82" s="15"/>
      <c r="D82" s="15"/>
      <c r="E82" s="15"/>
      <c r="F82" s="15"/>
      <c r="G82" s="49"/>
      <c r="H82" s="15"/>
      <c r="I82" s="49"/>
      <c r="J82" s="49"/>
      <c r="K82" s="49"/>
    </row>
    <row r="83" spans="1:11" x14ac:dyDescent="0.2">
      <c r="A83" s="49" t="s">
        <v>48</v>
      </c>
      <c r="B83" s="49"/>
      <c r="C83" s="15"/>
      <c r="D83" s="15"/>
      <c r="E83" s="15"/>
      <c r="F83" s="15"/>
      <c r="G83" s="49"/>
      <c r="H83" s="15"/>
      <c r="I83" s="49"/>
      <c r="J83" s="49"/>
      <c r="K83" s="49"/>
    </row>
    <row r="84" spans="1:11" ht="15" x14ac:dyDescent="0.25">
      <c r="A84" s="49" t="s">
        <v>49</v>
      </c>
      <c r="B84" s="379" t="s">
        <v>315</v>
      </c>
      <c r="C84" s="384">
        <v>0</v>
      </c>
      <c r="D84" s="384">
        <v>0</v>
      </c>
      <c r="E84" s="384">
        <v>0</v>
      </c>
      <c r="F84" s="384">
        <v>0</v>
      </c>
      <c r="G84" s="49"/>
      <c r="H84" s="384">
        <v>0</v>
      </c>
      <c r="I84" s="49"/>
      <c r="J84" s="49"/>
      <c r="K84" s="49"/>
    </row>
    <row r="85" spans="1:11" ht="15" x14ac:dyDescent="0.25">
      <c r="A85" s="49" t="s">
        <v>50</v>
      </c>
      <c r="B85" s="379" t="s">
        <v>315</v>
      </c>
      <c r="C85" s="384">
        <v>0</v>
      </c>
      <c r="D85" s="384">
        <v>0</v>
      </c>
      <c r="E85" s="384">
        <v>0</v>
      </c>
      <c r="F85" s="384">
        <v>0</v>
      </c>
      <c r="G85" s="49"/>
      <c r="H85" s="384">
        <v>0</v>
      </c>
      <c r="I85" s="49"/>
      <c r="J85" s="49"/>
      <c r="K85" s="49"/>
    </row>
    <row r="86" spans="1:11" ht="15" x14ac:dyDescent="0.25">
      <c r="A86" s="49" t="s">
        <v>51</v>
      </c>
      <c r="B86" s="379" t="s">
        <v>315</v>
      </c>
      <c r="C86" s="384">
        <v>0</v>
      </c>
      <c r="D86" s="384">
        <v>0</v>
      </c>
      <c r="E86" s="384">
        <v>0</v>
      </c>
      <c r="F86" s="384">
        <v>0</v>
      </c>
      <c r="G86" s="49"/>
      <c r="H86" s="384">
        <v>0</v>
      </c>
      <c r="I86" s="49"/>
      <c r="J86" s="49"/>
      <c r="K86" s="49"/>
    </row>
    <row r="87" spans="1:11" ht="15" x14ac:dyDescent="0.25">
      <c r="A87" s="49" t="s">
        <v>52</v>
      </c>
      <c r="B87" s="379" t="s">
        <v>315</v>
      </c>
      <c r="C87" s="384">
        <v>0</v>
      </c>
      <c r="D87" s="384">
        <v>0</v>
      </c>
      <c r="E87" s="384">
        <v>0</v>
      </c>
      <c r="F87" s="384">
        <v>0</v>
      </c>
      <c r="G87" s="49"/>
      <c r="H87" s="384">
        <v>0</v>
      </c>
      <c r="I87" s="49"/>
      <c r="J87" s="49"/>
      <c r="K87" s="49"/>
    </row>
    <row r="88" spans="1:11" ht="15" x14ac:dyDescent="0.25">
      <c r="A88" s="49" t="s">
        <v>53</v>
      </c>
      <c r="B88" s="379" t="s">
        <v>315</v>
      </c>
      <c r="C88" s="384">
        <v>0</v>
      </c>
      <c r="D88" s="384">
        <v>0</v>
      </c>
      <c r="E88" s="384">
        <v>0</v>
      </c>
      <c r="F88" s="384">
        <v>0</v>
      </c>
      <c r="G88" s="49"/>
      <c r="H88" s="384">
        <v>0</v>
      </c>
      <c r="I88" s="49"/>
      <c r="J88" s="49"/>
      <c r="K88" s="49"/>
    </row>
    <row r="89" spans="1:11" ht="15" x14ac:dyDescent="0.25">
      <c r="A89" s="49" t="s">
        <v>54</v>
      </c>
      <c r="B89" s="379" t="s">
        <v>315</v>
      </c>
      <c r="C89" s="384">
        <v>0</v>
      </c>
      <c r="D89" s="384">
        <v>0</v>
      </c>
      <c r="E89" s="384">
        <v>0</v>
      </c>
      <c r="F89" s="384">
        <v>0</v>
      </c>
      <c r="G89" s="49"/>
      <c r="H89" s="384">
        <v>0</v>
      </c>
      <c r="I89" s="49"/>
      <c r="J89" s="49"/>
      <c r="K89" s="49"/>
    </row>
    <row r="90" spans="1:11" x14ac:dyDescent="0.2">
      <c r="A90" s="49"/>
      <c r="B90" s="49"/>
      <c r="C90" s="15"/>
      <c r="D90" s="15"/>
      <c r="E90" s="15"/>
      <c r="F90" s="15"/>
      <c r="G90" s="49"/>
      <c r="H90" s="15"/>
      <c r="I90" s="49"/>
      <c r="J90" s="49"/>
      <c r="K90" s="49"/>
    </row>
    <row r="91" spans="1:11" x14ac:dyDescent="0.2">
      <c r="A91" s="49" t="s">
        <v>55</v>
      </c>
      <c r="B91" s="49"/>
      <c r="C91" s="15">
        <f>SUM(C78:C90)</f>
        <v>235004</v>
      </c>
      <c r="D91" s="15">
        <f>SUM(D78:D90)</f>
        <v>243000</v>
      </c>
      <c r="E91" s="15">
        <f>SUM(E78:E90)</f>
        <v>255000</v>
      </c>
      <c r="F91" s="15">
        <f t="shared" ref="F91:H91" si="3">SUM(F78:F90)</f>
        <v>262650</v>
      </c>
      <c r="G91" s="49"/>
      <c r="H91" s="15">
        <f t="shared" si="3"/>
        <v>270530</v>
      </c>
      <c r="I91" s="49"/>
      <c r="J91" s="49"/>
      <c r="K91" s="49"/>
    </row>
    <row r="92" spans="1:11" x14ac:dyDescent="0.2">
      <c r="A92" s="49"/>
      <c r="B92" s="49"/>
      <c r="C92" s="15"/>
      <c r="D92" s="15"/>
      <c r="E92" s="15"/>
      <c r="F92" s="15"/>
      <c r="G92" s="49"/>
      <c r="H92" s="15"/>
      <c r="I92" s="49"/>
      <c r="J92" s="49"/>
      <c r="K92" s="49"/>
    </row>
    <row r="93" spans="1:11" x14ac:dyDescent="0.2">
      <c r="A93" s="49" t="s">
        <v>56</v>
      </c>
      <c r="B93" s="49"/>
      <c r="C93" s="15">
        <f>C91+C75</f>
        <v>3529328.1599999992</v>
      </c>
      <c r="D93" s="15">
        <f>D91+D75</f>
        <v>3754500.6800000006</v>
      </c>
      <c r="E93" s="15">
        <f>E91+E75</f>
        <v>4125563</v>
      </c>
      <c r="F93" s="15">
        <f>F91+F75</f>
        <v>4069879.5</v>
      </c>
      <c r="G93" s="49"/>
      <c r="H93" s="15">
        <f t="shared" ref="H93" si="4">H91+H75</f>
        <v>4111671.4779000003</v>
      </c>
      <c r="I93" s="49"/>
      <c r="J93" s="49"/>
      <c r="K93" s="49"/>
    </row>
    <row r="94" spans="1:11" x14ac:dyDescent="0.2">
      <c r="A94" s="49"/>
      <c r="B94" s="49"/>
      <c r="C94" s="15"/>
      <c r="D94" s="15"/>
      <c r="E94" s="15"/>
      <c r="F94" s="15"/>
      <c r="G94" s="49"/>
      <c r="H94" s="15"/>
      <c r="I94" s="49"/>
      <c r="J94" s="49"/>
      <c r="K94" s="49"/>
    </row>
    <row r="95" spans="1:11" ht="15" x14ac:dyDescent="0.25">
      <c r="A95" s="49" t="s">
        <v>57</v>
      </c>
      <c r="B95" s="395" t="s">
        <v>156</v>
      </c>
      <c r="C95" s="415">
        <f>-'HE - Schedule 4 OFFICIAL'!D15</f>
        <v>-183785</v>
      </c>
      <c r="D95" s="415">
        <f>-'HE - Schedule 4 OFFICIAL'!F15</f>
        <v>-185143</v>
      </c>
      <c r="E95" s="415">
        <f>-'HE - Schedule 4 OFFICIAL'!H15</f>
        <v>-185464</v>
      </c>
      <c r="F95" s="415">
        <f>-'HE - Schedule 4 OFFICIAL'!J15</f>
        <v>-191028</v>
      </c>
      <c r="G95" s="49"/>
      <c r="H95" s="415">
        <f>-'HE - Schedule 4 OFFICIAL'!L15</f>
        <v>-196759</v>
      </c>
      <c r="I95" s="49" t="s">
        <v>342</v>
      </c>
      <c r="J95" s="49"/>
      <c r="K95" s="49"/>
    </row>
    <row r="96" spans="1:11" ht="14.25" x14ac:dyDescent="0.2">
      <c r="A96" s="49" t="s">
        <v>76</v>
      </c>
      <c r="B96" s="49"/>
      <c r="C96" s="15"/>
      <c r="D96" s="15"/>
      <c r="E96" s="15"/>
      <c r="F96" s="15"/>
      <c r="G96" s="49"/>
      <c r="H96" s="15"/>
      <c r="I96" s="49"/>
      <c r="J96" s="49"/>
      <c r="K96" s="49"/>
    </row>
    <row r="97" spans="1:11" ht="15" x14ac:dyDescent="0.25">
      <c r="A97" s="49" t="s">
        <v>58</v>
      </c>
      <c r="B97" s="395" t="s">
        <v>155</v>
      </c>
      <c r="C97" s="415">
        <f>-'HE - Schedule 5 OFFICIAL'!C29</f>
        <v>-151183.04209016927</v>
      </c>
      <c r="D97" s="415">
        <f>-'HE - Schedule 5 OFFICIAL'!D29</f>
        <v>-167782.57476959997</v>
      </c>
      <c r="E97" s="415">
        <f>-'HE - Schedule 5 OFFICIAL'!E29</f>
        <v>-169805.71339199998</v>
      </c>
      <c r="F97" s="415">
        <f>-'HE - Schedule 5 OFFICIAL'!F29</f>
        <v>-174899.88479375996</v>
      </c>
      <c r="G97" s="49"/>
      <c r="H97" s="415">
        <f>-'HE - Schedule 5 OFFICIAL'!G29</f>
        <v>-180146.88133757276</v>
      </c>
      <c r="I97" s="49" t="s">
        <v>343</v>
      </c>
      <c r="J97" s="49"/>
      <c r="K97" s="49"/>
    </row>
    <row r="98" spans="1:11" ht="14.25" x14ac:dyDescent="0.2">
      <c r="A98" s="49" t="s">
        <v>77</v>
      </c>
      <c r="B98" s="49"/>
      <c r="C98" s="15"/>
      <c r="D98" s="15"/>
      <c r="E98" s="15"/>
      <c r="F98" s="15"/>
      <c r="G98" s="49"/>
      <c r="H98" s="15"/>
      <c r="I98" s="49"/>
      <c r="J98" s="49"/>
      <c r="K98" s="49"/>
    </row>
    <row r="99" spans="1:11" ht="15" x14ac:dyDescent="0.25">
      <c r="A99" s="49" t="s">
        <v>59</v>
      </c>
      <c r="B99" s="379" t="s">
        <v>154</v>
      </c>
      <c r="C99" s="418">
        <f>-'APS011 Sec II'!K27</f>
        <v>-273283.55</v>
      </c>
      <c r="D99" s="431">
        <f>-332940.3037</f>
        <v>-332940.30369999999</v>
      </c>
      <c r="E99" s="414">
        <v>-348413</v>
      </c>
      <c r="F99" s="414">
        <v>-360000</v>
      </c>
      <c r="G99" s="49"/>
      <c r="H99" s="414">
        <f>F99</f>
        <v>-360000</v>
      </c>
      <c r="I99" s="49" t="s">
        <v>344</v>
      </c>
      <c r="J99" s="49"/>
      <c r="K99" s="49"/>
    </row>
    <row r="100" spans="1:11" x14ac:dyDescent="0.2">
      <c r="A100" s="49"/>
      <c r="B100" s="49"/>
      <c r="C100" s="15"/>
      <c r="D100" s="15"/>
      <c r="E100" s="15"/>
      <c r="F100" s="15"/>
      <c r="G100" s="49"/>
      <c r="H100" s="15"/>
      <c r="I100" s="49"/>
      <c r="J100" s="49"/>
      <c r="K100" s="49"/>
    </row>
    <row r="101" spans="1:11" x14ac:dyDescent="0.2">
      <c r="A101" s="49" t="s">
        <v>60</v>
      </c>
      <c r="B101" s="49"/>
      <c r="C101" s="15">
        <f>SUM(C93:C100)</f>
        <v>2921076.5679098302</v>
      </c>
      <c r="D101" s="15">
        <f>SUM(D93:D100)</f>
        <v>3068634.8015304008</v>
      </c>
      <c r="E101" s="15">
        <f t="shared" ref="E101:H101" si="5">SUM(E93:E100)</f>
        <v>3421880.2866079998</v>
      </c>
      <c r="F101" s="15">
        <f t="shared" si="5"/>
        <v>3343951.6152062402</v>
      </c>
      <c r="G101" s="49"/>
      <c r="H101" s="15">
        <f t="shared" si="5"/>
        <v>3374765.5965624275</v>
      </c>
      <c r="I101" s="49" t="s">
        <v>345</v>
      </c>
      <c r="J101" s="49"/>
      <c r="K101" s="49"/>
    </row>
    <row r="102" spans="1:11" ht="14.25" x14ac:dyDescent="0.2">
      <c r="A102" s="49" t="s">
        <v>78</v>
      </c>
      <c r="B102" s="49"/>
      <c r="C102" s="15"/>
      <c r="D102" s="15"/>
      <c r="E102" s="15"/>
      <c r="F102" s="15"/>
      <c r="G102" s="49"/>
      <c r="H102" s="15"/>
      <c r="I102" s="49"/>
      <c r="J102" s="49"/>
      <c r="K102" s="49"/>
    </row>
    <row r="103" spans="1:11" x14ac:dyDescent="0.2">
      <c r="A103" s="49"/>
      <c r="B103" s="49"/>
      <c r="C103" s="15"/>
      <c r="D103" s="15"/>
      <c r="E103" s="15"/>
      <c r="F103" s="15"/>
      <c r="G103" s="49"/>
      <c r="H103" s="15"/>
      <c r="I103" s="49"/>
      <c r="J103" s="49"/>
      <c r="K103" s="49"/>
    </row>
    <row r="104" spans="1:11" x14ac:dyDescent="0.2">
      <c r="A104" s="49"/>
      <c r="B104" s="49"/>
      <c r="C104" s="15"/>
      <c r="D104" s="15"/>
      <c r="E104" s="15"/>
      <c r="F104" s="15"/>
      <c r="G104" s="49"/>
      <c r="H104" s="15"/>
      <c r="I104" s="49"/>
      <c r="J104" s="49"/>
      <c r="K104" s="49"/>
    </row>
    <row r="105" spans="1:11" ht="39.75" customHeight="1" x14ac:dyDescent="0.2">
      <c r="A105" s="49" t="s">
        <v>357</v>
      </c>
      <c r="B105" s="49"/>
      <c r="C105" s="15"/>
      <c r="D105" s="15"/>
      <c r="E105" s="15"/>
      <c r="F105" s="15"/>
      <c r="G105" s="49"/>
      <c r="H105" s="15"/>
      <c r="I105" s="715" t="s">
        <v>346</v>
      </c>
      <c r="J105" s="715"/>
      <c r="K105" s="715"/>
    </row>
    <row r="106" spans="1:11" x14ac:dyDescent="0.2">
      <c r="A106" s="49"/>
      <c r="B106" s="49"/>
      <c r="C106" s="15"/>
      <c r="D106" s="15"/>
      <c r="E106" s="15"/>
      <c r="F106" s="15"/>
      <c r="G106" s="49"/>
      <c r="H106" s="15"/>
      <c r="I106" s="49"/>
      <c r="J106" s="49"/>
      <c r="K106" s="49"/>
    </row>
    <row r="107" spans="1:11" x14ac:dyDescent="0.2">
      <c r="A107" s="49" t="s">
        <v>544</v>
      </c>
      <c r="B107" s="49"/>
      <c r="C107" s="15">
        <f>-C59</f>
        <v>372294.35</v>
      </c>
      <c r="D107" s="15">
        <f t="shared" ref="D107:H107" si="6">-D59</f>
        <v>417907.43</v>
      </c>
      <c r="E107" s="15">
        <f t="shared" si="6"/>
        <v>387151</v>
      </c>
      <c r="F107" s="15">
        <f t="shared" si="6"/>
        <v>450000</v>
      </c>
      <c r="G107" s="49"/>
      <c r="H107" s="15">
        <f t="shared" si="6"/>
        <v>450000</v>
      </c>
      <c r="I107" s="49"/>
      <c r="J107" s="49"/>
      <c r="K107" s="49"/>
    </row>
    <row r="108" spans="1:11" x14ac:dyDescent="0.2">
      <c r="A108" s="49" t="s">
        <v>545</v>
      </c>
      <c r="B108" s="49"/>
      <c r="C108" s="15"/>
      <c r="D108" s="15"/>
      <c r="E108" s="15"/>
      <c r="F108" s="15"/>
      <c r="G108" s="49"/>
      <c r="H108" s="15"/>
      <c r="I108" s="49"/>
      <c r="J108" s="49"/>
      <c r="K108" s="49"/>
    </row>
    <row r="109" spans="1:11" x14ac:dyDescent="0.2">
      <c r="A109" s="49" t="s">
        <v>546</v>
      </c>
      <c r="B109" s="49"/>
      <c r="C109" s="15">
        <f>-C61</f>
        <v>0</v>
      </c>
      <c r="D109" s="15">
        <f t="shared" ref="D109:F109" si="7">-D61</f>
        <v>0</v>
      </c>
      <c r="E109" s="15">
        <f t="shared" si="7"/>
        <v>0</v>
      </c>
      <c r="F109" s="15">
        <f t="shared" si="7"/>
        <v>0</v>
      </c>
      <c r="G109" s="49"/>
      <c r="H109" s="15">
        <f>-H61</f>
        <v>0</v>
      </c>
      <c r="I109" s="49"/>
      <c r="J109" s="49"/>
      <c r="K109" s="49"/>
    </row>
    <row r="110" spans="1:11" x14ac:dyDescent="0.2">
      <c r="A110" s="49" t="s">
        <v>547</v>
      </c>
      <c r="B110" s="49"/>
      <c r="C110" s="15"/>
      <c r="D110" s="15"/>
      <c r="E110" s="15"/>
      <c r="F110" s="15"/>
      <c r="G110" s="49"/>
      <c r="H110" s="15"/>
      <c r="I110" s="49"/>
      <c r="J110" s="49"/>
      <c r="K110" s="49"/>
    </row>
    <row r="111" spans="1:11" ht="15" x14ac:dyDescent="0.25">
      <c r="A111" s="49" t="s">
        <v>548</v>
      </c>
      <c r="B111" s="379" t="s">
        <v>315</v>
      </c>
      <c r="C111" s="384">
        <v>0</v>
      </c>
      <c r="D111" s="384">
        <v>0</v>
      </c>
      <c r="E111" s="384">
        <v>0</v>
      </c>
      <c r="F111" s="384">
        <v>0</v>
      </c>
      <c r="G111" s="49"/>
      <c r="H111" s="384">
        <v>0</v>
      </c>
      <c r="I111" s="49" t="s">
        <v>347</v>
      </c>
      <c r="J111" s="49"/>
      <c r="K111" s="49"/>
    </row>
    <row r="112" spans="1:11" x14ac:dyDescent="0.2">
      <c r="A112" s="49" t="s">
        <v>549</v>
      </c>
      <c r="B112" s="49"/>
      <c r="C112" s="15">
        <f>-C99</f>
        <v>273283.55</v>
      </c>
      <c r="D112" s="15">
        <f t="shared" ref="D112:H112" si="8">-D99</f>
        <v>332940.30369999999</v>
      </c>
      <c r="E112" s="15">
        <f t="shared" si="8"/>
        <v>348413</v>
      </c>
      <c r="F112" s="15">
        <f t="shared" si="8"/>
        <v>360000</v>
      </c>
      <c r="G112" s="49"/>
      <c r="H112" s="15">
        <f t="shared" si="8"/>
        <v>360000</v>
      </c>
      <c r="I112" s="49"/>
      <c r="J112" s="49"/>
      <c r="K112" s="49"/>
    </row>
    <row r="113" spans="1:11" x14ac:dyDescent="0.2">
      <c r="A113" s="49" t="s">
        <v>550</v>
      </c>
      <c r="B113" s="49"/>
      <c r="C113" s="15">
        <f>-C40</f>
        <v>105710</v>
      </c>
      <c r="D113" s="15">
        <f t="shared" ref="D113:H113" si="9">-D40</f>
        <v>140180</v>
      </c>
      <c r="E113" s="15">
        <f t="shared" si="9"/>
        <v>123739</v>
      </c>
      <c r="F113" s="15">
        <f t="shared" si="9"/>
        <v>129925.95000000001</v>
      </c>
      <c r="G113" s="49"/>
      <c r="H113" s="15">
        <f t="shared" si="9"/>
        <v>136422</v>
      </c>
      <c r="I113" s="49"/>
      <c r="J113" s="49"/>
      <c r="K113" s="49"/>
    </row>
    <row r="114" spans="1:11" x14ac:dyDescent="0.2">
      <c r="A114" s="49" t="s">
        <v>551</v>
      </c>
      <c r="B114" s="49"/>
      <c r="C114" s="15"/>
      <c r="D114" s="15"/>
      <c r="E114" s="15"/>
      <c r="F114" s="15"/>
      <c r="G114" s="49"/>
      <c r="H114" s="15"/>
      <c r="I114" s="49"/>
      <c r="J114" s="49"/>
      <c r="K114" s="49"/>
    </row>
    <row r="115" spans="1:11" x14ac:dyDescent="0.2">
      <c r="A115" s="49" t="s">
        <v>61</v>
      </c>
      <c r="B115" s="49"/>
      <c r="C115" s="15">
        <f>-SUM(C43)</f>
        <v>0</v>
      </c>
      <c r="D115" s="15">
        <f t="shared" ref="D115:H115" si="10">-SUM(D43)</f>
        <v>0</v>
      </c>
      <c r="E115" s="15">
        <f t="shared" si="10"/>
        <v>0</v>
      </c>
      <c r="F115" s="15">
        <f t="shared" si="10"/>
        <v>0</v>
      </c>
      <c r="G115" s="49"/>
      <c r="H115" s="15">
        <f t="shared" si="10"/>
        <v>0</v>
      </c>
      <c r="I115" s="49"/>
      <c r="J115" s="49"/>
      <c r="K115" s="49"/>
    </row>
    <row r="116" spans="1:11" x14ac:dyDescent="0.2">
      <c r="A116" s="49" t="s">
        <v>552</v>
      </c>
      <c r="B116" s="49"/>
      <c r="C116" s="15"/>
      <c r="D116" s="15"/>
      <c r="E116" s="15"/>
      <c r="F116" s="15"/>
      <c r="G116" s="49"/>
      <c r="H116" s="15"/>
      <c r="I116" s="49"/>
      <c r="J116" s="49"/>
      <c r="K116" s="49"/>
    </row>
    <row r="117" spans="1:11" x14ac:dyDescent="0.2">
      <c r="A117" s="49" t="s">
        <v>553</v>
      </c>
      <c r="B117" s="49"/>
      <c r="C117" s="15">
        <f>-SUM(C46)</f>
        <v>0</v>
      </c>
      <c r="D117" s="15">
        <f t="shared" ref="D117:H117" si="11">-SUM(D46)</f>
        <v>0</v>
      </c>
      <c r="E117" s="15">
        <f t="shared" si="11"/>
        <v>0</v>
      </c>
      <c r="F117" s="15">
        <f t="shared" si="11"/>
        <v>0</v>
      </c>
      <c r="G117" s="49"/>
      <c r="H117" s="15">
        <f t="shared" si="11"/>
        <v>0</v>
      </c>
      <c r="I117" s="49"/>
      <c r="J117" s="49"/>
      <c r="K117" s="49"/>
    </row>
    <row r="118" spans="1:11" x14ac:dyDescent="0.2">
      <c r="A118" s="49" t="s">
        <v>554</v>
      </c>
      <c r="B118" s="49"/>
      <c r="C118" s="15">
        <f>-C47</f>
        <v>0</v>
      </c>
      <c r="D118" s="15">
        <f>-D47</f>
        <v>0</v>
      </c>
      <c r="E118" s="15">
        <f>-E47</f>
        <v>0</v>
      </c>
      <c r="F118" s="15">
        <f>-F47</f>
        <v>0</v>
      </c>
      <c r="G118" s="49"/>
      <c r="H118" s="15">
        <f>-H47</f>
        <v>0</v>
      </c>
      <c r="I118" s="49"/>
      <c r="J118" s="49"/>
      <c r="K118" s="49"/>
    </row>
    <row r="119" spans="1:11" x14ac:dyDescent="0.2">
      <c r="A119" s="49" t="s">
        <v>555</v>
      </c>
      <c r="B119" s="49"/>
      <c r="C119" s="15">
        <f>-C49</f>
        <v>31562</v>
      </c>
      <c r="D119" s="15">
        <f t="shared" ref="D119:H119" si="12">-D49</f>
        <v>26328</v>
      </c>
      <c r="E119" s="15">
        <f t="shared" si="12"/>
        <v>26526</v>
      </c>
      <c r="F119" s="15">
        <f t="shared" si="12"/>
        <v>28913.340000000004</v>
      </c>
      <c r="G119" s="49"/>
      <c r="H119" s="15">
        <f t="shared" si="12"/>
        <v>31516</v>
      </c>
      <c r="I119" s="49"/>
      <c r="J119" s="49"/>
      <c r="K119" s="49"/>
    </row>
    <row r="120" spans="1:11" x14ac:dyDescent="0.2">
      <c r="A120" s="49" t="s">
        <v>62</v>
      </c>
      <c r="B120" s="49"/>
      <c r="C120" s="15"/>
      <c r="D120" s="15"/>
      <c r="E120" s="15"/>
      <c r="F120" s="15"/>
      <c r="G120" s="49"/>
      <c r="H120" s="15"/>
      <c r="I120" s="49"/>
      <c r="J120" s="49"/>
      <c r="K120" s="49"/>
    </row>
    <row r="121" spans="1:11" x14ac:dyDescent="0.2">
      <c r="A121" s="49" t="s">
        <v>556</v>
      </c>
      <c r="B121" s="49"/>
      <c r="C121" s="15"/>
      <c r="D121" s="15"/>
      <c r="E121" s="15"/>
      <c r="F121" s="15"/>
      <c r="G121" s="49"/>
      <c r="H121" s="15"/>
      <c r="I121" s="49"/>
      <c r="J121" s="49"/>
      <c r="K121" s="49"/>
    </row>
    <row r="122" spans="1:11" x14ac:dyDescent="0.2">
      <c r="A122" s="49" t="s">
        <v>557</v>
      </c>
      <c r="B122" s="49"/>
      <c r="C122" s="15"/>
      <c r="D122" s="15"/>
      <c r="E122" s="15"/>
      <c r="F122" s="15"/>
      <c r="G122" s="49"/>
      <c r="H122" s="15"/>
      <c r="I122" s="49"/>
      <c r="J122" s="49"/>
      <c r="K122" s="49"/>
    </row>
    <row r="123" spans="1:11" x14ac:dyDescent="0.2">
      <c r="A123" s="49"/>
      <c r="B123" s="49"/>
      <c r="C123" s="15"/>
      <c r="D123" s="15"/>
      <c r="E123" s="15"/>
      <c r="F123" s="15"/>
      <c r="G123" s="49"/>
      <c r="H123" s="15"/>
      <c r="I123" s="49"/>
      <c r="J123" s="49"/>
      <c r="K123" s="49"/>
    </row>
    <row r="124" spans="1:11" x14ac:dyDescent="0.2">
      <c r="A124" s="49" t="s">
        <v>63</v>
      </c>
      <c r="B124" s="49"/>
      <c r="C124" s="15">
        <f>+C101+SUM(C106:C123)-SUM(C121:C122)</f>
        <v>3703926.4679098302</v>
      </c>
      <c r="D124" s="15">
        <f>+D101+SUM(D106:D123)-SUM(D121:D122)</f>
        <v>3985990.535230401</v>
      </c>
      <c r="E124" s="15">
        <f>+E101+SUM(E106:E123)-SUM(E121:E122)</f>
        <v>4307709.2866079994</v>
      </c>
      <c r="F124" s="15">
        <f>+F101+SUM(F106:F123)-SUM(F121:F122)</f>
        <v>4312790.9052062398</v>
      </c>
      <c r="G124" s="49"/>
      <c r="H124" s="15">
        <f>+H101+SUM(H106:H123)-SUM(H121:H122)</f>
        <v>4352703.5965624275</v>
      </c>
      <c r="I124" s="49"/>
      <c r="J124" s="49"/>
      <c r="K124" s="49"/>
    </row>
    <row r="125" spans="1:11" x14ac:dyDescent="0.2">
      <c r="A125" s="49" t="s">
        <v>64</v>
      </c>
      <c r="B125" s="49"/>
      <c r="C125" s="15"/>
      <c r="D125" s="15"/>
      <c r="E125" s="15"/>
      <c r="F125" s="15"/>
      <c r="G125" s="49"/>
      <c r="H125" s="15"/>
      <c r="I125" s="49"/>
      <c r="J125" s="49"/>
      <c r="K125" s="49"/>
    </row>
    <row r="126" spans="1:11" x14ac:dyDescent="0.2">
      <c r="A126" s="49"/>
      <c r="B126" s="49"/>
      <c r="C126" s="15"/>
      <c r="D126" s="15"/>
      <c r="E126" s="15"/>
      <c r="F126" s="15"/>
      <c r="G126" s="49"/>
      <c r="H126" s="15"/>
      <c r="I126" s="49"/>
      <c r="J126" s="49"/>
      <c r="K126" s="49"/>
    </row>
    <row r="127" spans="1:11" x14ac:dyDescent="0.2">
      <c r="C127" s="2"/>
      <c r="D127" s="2"/>
      <c r="E127" s="2"/>
      <c r="F127" s="2"/>
      <c r="G127" s="2"/>
    </row>
    <row r="128" spans="1:11" x14ac:dyDescent="0.2">
      <c r="C128" s="2"/>
      <c r="D128" s="2"/>
      <c r="E128" s="2"/>
      <c r="F128" s="2"/>
      <c r="G128" s="2"/>
    </row>
    <row r="129" spans="3:7" x14ac:dyDescent="0.2">
      <c r="C129" s="2"/>
      <c r="D129" s="2"/>
      <c r="E129" s="2"/>
      <c r="F129" s="2"/>
      <c r="G129" s="2"/>
    </row>
    <row r="130" spans="3:7" x14ac:dyDescent="0.2">
      <c r="C130" s="2"/>
      <c r="D130" s="2"/>
      <c r="E130" s="2"/>
      <c r="F130" s="2"/>
      <c r="G130" s="2"/>
    </row>
    <row r="131" spans="3:7" x14ac:dyDescent="0.2">
      <c r="C131" s="2"/>
      <c r="D131" s="2"/>
      <c r="E131" s="2"/>
      <c r="F131" s="2"/>
      <c r="G131" s="2"/>
    </row>
    <row r="132" spans="3:7" x14ac:dyDescent="0.2">
      <c r="C132" s="2"/>
      <c r="D132" s="2"/>
      <c r="E132" s="2"/>
      <c r="F132" s="2"/>
      <c r="G132" s="2"/>
    </row>
  </sheetData>
  <mergeCells count="15">
    <mergeCell ref="A1:J1"/>
    <mergeCell ref="G10:G12"/>
    <mergeCell ref="G15:G16"/>
    <mergeCell ref="J6:J16"/>
    <mergeCell ref="D25:F25"/>
    <mergeCell ref="A22:K22"/>
    <mergeCell ref="A23:K23"/>
    <mergeCell ref="A2:J2"/>
    <mergeCell ref="A3:J3"/>
    <mergeCell ref="A4:J4"/>
    <mergeCell ref="I47:K48"/>
    <mergeCell ref="I31:J32"/>
    <mergeCell ref="I33:K33"/>
    <mergeCell ref="I37:K37"/>
    <mergeCell ref="I105:K105"/>
  </mergeCells>
  <printOptions gridLines="1"/>
  <pageMargins left="0.75" right="0.75" top="0.46" bottom="0.55000000000000004" header="0.5" footer="0.21"/>
  <pageSetup scale="34" orientation="portrait" r:id="rId1"/>
  <headerFooter alignWithMargins="0">
    <oddFooter xml:space="preserve">&amp;Lh:/cjr/lar2002 / &amp;F &amp;D &amp;T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1:K35"/>
  <sheetViews>
    <sheetView zoomScale="85" zoomScaleNormal="85" zoomScaleSheetLayoutView="115" workbookViewId="0">
      <pane xSplit="1" ySplit="1" topLeftCell="B2" activePane="bottomRight" state="frozen"/>
      <selection activeCell="K37" sqref="K37"/>
      <selection pane="topRight" activeCell="K37" sqref="K37"/>
      <selection pane="bottomLeft" activeCell="K37" sqref="K37"/>
      <selection pane="bottomRight" activeCell="C35" sqref="C34:C35"/>
    </sheetView>
  </sheetViews>
  <sheetFormatPr defaultRowHeight="12.75" x14ac:dyDescent="0.2"/>
  <cols>
    <col min="1" max="1" width="50.7109375" style="1" customWidth="1"/>
    <col min="2" max="2" width="27.42578125" style="1" bestFit="1" customWidth="1"/>
    <col min="3" max="3" width="18.140625" style="1" customWidth="1"/>
    <col min="4" max="4" width="16" style="1" customWidth="1"/>
    <col min="5" max="5" width="13.7109375" style="1" customWidth="1"/>
    <col min="6" max="6" width="14.7109375" style="1" customWidth="1"/>
    <col min="7" max="7" width="20.42578125" style="1" customWidth="1"/>
    <col min="8" max="8" width="12.28515625" style="1" bestFit="1" customWidth="1"/>
    <col min="9" max="9" width="16.42578125" style="1" bestFit="1" customWidth="1"/>
    <col min="10" max="10" width="71.5703125" style="1" customWidth="1"/>
    <col min="11" max="11" width="13" style="1" customWidth="1"/>
    <col min="12" max="12" width="14.42578125" style="1" bestFit="1" customWidth="1"/>
    <col min="13" max="13" width="12.28515625" style="1" bestFit="1" customWidth="1"/>
    <col min="14" max="14" width="40.85546875" style="1" customWidth="1"/>
    <col min="15" max="16" width="12.28515625" style="1" bestFit="1" customWidth="1"/>
    <col min="17" max="17" width="11.5703125" style="1" bestFit="1" customWidth="1"/>
    <col min="18" max="18" width="12.28515625" style="1" bestFit="1" customWidth="1"/>
    <col min="19" max="19" width="11.28515625" style="1" bestFit="1" customWidth="1"/>
    <col min="20" max="20" width="10.7109375" style="1" customWidth="1"/>
    <col min="21" max="16384" width="9.140625" style="1"/>
  </cols>
  <sheetData>
    <row r="1" spans="1:11" x14ac:dyDescent="0.2">
      <c r="A1" s="725" t="s">
        <v>407</v>
      </c>
      <c r="B1" s="725"/>
      <c r="C1" s="725"/>
      <c r="D1" s="725"/>
      <c r="E1" s="725"/>
      <c r="F1" s="725"/>
      <c r="G1" s="725"/>
      <c r="H1" s="725"/>
      <c r="I1" s="725"/>
      <c r="J1" s="725"/>
      <c r="K1" s="725"/>
    </row>
    <row r="2" spans="1:11" ht="15" x14ac:dyDescent="0.2">
      <c r="A2" s="725"/>
      <c r="B2" s="725"/>
      <c r="C2" s="725"/>
      <c r="D2" s="725"/>
      <c r="E2" s="725"/>
      <c r="F2" s="725"/>
      <c r="G2" s="725"/>
      <c r="H2" s="597"/>
      <c r="I2" s="597"/>
      <c r="J2" s="597"/>
      <c r="K2" s="597"/>
    </row>
    <row r="3" spans="1:11" x14ac:dyDescent="0.2">
      <c r="A3" s="49" t="s">
        <v>84</v>
      </c>
      <c r="B3" s="49"/>
      <c r="C3" s="49"/>
      <c r="D3" s="49"/>
      <c r="E3" s="49"/>
      <c r="F3" s="49"/>
      <c r="G3" s="49"/>
      <c r="H3" s="49"/>
      <c r="I3" s="49"/>
      <c r="J3" s="49"/>
      <c r="K3" s="49"/>
    </row>
    <row r="4" spans="1:11" ht="15" x14ac:dyDescent="0.25">
      <c r="A4" s="54">
        <f>VALUE('INPUT SHEET FOR LAR'!D5)</f>
        <v>711</v>
      </c>
      <c r="B4" s="49"/>
      <c r="C4" s="56" t="s">
        <v>81</v>
      </c>
      <c r="D4" s="723" t="str">
        <f>'INPUT SHEET FOR LAR'!D4</f>
        <v>Tracy Foster</v>
      </c>
      <c r="E4" s="724"/>
      <c r="F4" s="724"/>
      <c r="G4" s="356"/>
      <c r="H4" s="49" t="s">
        <v>104</v>
      </c>
      <c r="I4" s="55">
        <f ca="1">'INPUT SHEET FOR LAR'!D7</f>
        <v>45481</v>
      </c>
      <c r="J4" s="49"/>
      <c r="K4" s="49"/>
    </row>
    <row r="5" spans="1:11" x14ac:dyDescent="0.2">
      <c r="A5" s="49" t="s">
        <v>83</v>
      </c>
      <c r="B5" s="49"/>
      <c r="C5" s="49"/>
      <c r="D5" s="49"/>
      <c r="E5" s="49"/>
      <c r="F5" s="49"/>
      <c r="G5" s="49"/>
      <c r="H5" s="49"/>
      <c r="I5" s="49"/>
      <c r="J5" s="49"/>
      <c r="K5" s="49"/>
    </row>
    <row r="6" spans="1:11" x14ac:dyDescent="0.2">
      <c r="A6" s="54" t="str">
        <f>'INPUT SHEET FOR LAR'!D6</f>
        <v>University Name</v>
      </c>
      <c r="B6" s="56"/>
      <c r="C6" s="56" t="s">
        <v>2</v>
      </c>
      <c r="D6" s="56" t="s">
        <v>2</v>
      </c>
      <c r="E6" s="56" t="s">
        <v>4</v>
      </c>
      <c r="F6" s="56" t="s">
        <v>5</v>
      </c>
      <c r="G6" s="56"/>
      <c r="H6" s="56" t="s">
        <v>5</v>
      </c>
      <c r="I6" s="49"/>
      <c r="J6" s="49"/>
      <c r="K6" s="49"/>
    </row>
    <row r="7" spans="1:11" x14ac:dyDescent="0.2">
      <c r="A7" s="56" t="s">
        <v>6</v>
      </c>
      <c r="B7" s="397" t="s">
        <v>314</v>
      </c>
      <c r="C7" s="56">
        <f>D7-1</f>
        <v>2019</v>
      </c>
      <c r="D7" s="56">
        <f>E7-1</f>
        <v>2020</v>
      </c>
      <c r="E7" s="56">
        <f>F7-1</f>
        <v>2021</v>
      </c>
      <c r="F7" s="56">
        <f>H7-1</f>
        <v>2022</v>
      </c>
      <c r="G7" s="56"/>
      <c r="H7" s="56">
        <f>'INPUT SHEET FOR LAR'!D3</f>
        <v>2023</v>
      </c>
      <c r="I7" s="49" t="s">
        <v>7</v>
      </c>
      <c r="J7" s="49"/>
      <c r="K7" s="49"/>
    </row>
    <row r="8" spans="1:11" x14ac:dyDescent="0.2">
      <c r="A8" s="49"/>
      <c r="B8" s="49"/>
      <c r="C8" s="57"/>
      <c r="D8" s="57"/>
      <c r="E8" s="57"/>
      <c r="F8" s="49"/>
      <c r="G8" s="49"/>
      <c r="H8" s="49"/>
      <c r="I8" s="49"/>
      <c r="J8" s="49"/>
      <c r="K8" s="49"/>
    </row>
    <row r="9" spans="1:11" x14ac:dyDescent="0.2">
      <c r="A9" s="49" t="s">
        <v>408</v>
      </c>
      <c r="B9" s="49"/>
      <c r="C9" s="15"/>
      <c r="D9" s="15"/>
      <c r="E9" s="15"/>
      <c r="F9" s="49"/>
      <c r="G9" s="49"/>
      <c r="H9" s="49"/>
      <c r="I9" s="49"/>
      <c r="J9" s="49"/>
      <c r="K9" s="49"/>
    </row>
    <row r="10" spans="1:11" ht="15" customHeight="1" x14ac:dyDescent="0.25">
      <c r="A10" s="49" t="s">
        <v>409</v>
      </c>
      <c r="B10" s="379" t="s">
        <v>315</v>
      </c>
      <c r="C10" s="384">
        <v>0</v>
      </c>
      <c r="D10" s="414">
        <v>0</v>
      </c>
      <c r="E10" s="384">
        <v>0</v>
      </c>
      <c r="F10" s="448">
        <f>E10*(1+'INPUT SHEET FOR LAR'!$D$28)</f>
        <v>0</v>
      </c>
      <c r="G10" s="49"/>
      <c r="H10" s="448">
        <f>F10*(1+'INPUT SHEET FOR LAR'!$D$28)</f>
        <v>0</v>
      </c>
      <c r="I10" s="714"/>
      <c r="J10" s="713"/>
      <c r="K10" s="49"/>
    </row>
    <row r="11" spans="1:11" ht="15" x14ac:dyDescent="0.25">
      <c r="A11" s="49" t="s">
        <v>410</v>
      </c>
      <c r="B11" s="379" t="s">
        <v>315</v>
      </c>
      <c r="C11" s="384">
        <v>0</v>
      </c>
      <c r="D11" s="414">
        <v>0</v>
      </c>
      <c r="E11" s="384">
        <v>0</v>
      </c>
      <c r="F11" s="448">
        <f>E11*(1+'INPUT SHEET FOR LAR'!$D$28)</f>
        <v>0</v>
      </c>
      <c r="G11" s="49"/>
      <c r="H11" s="448">
        <f>F11*(1+'INPUT SHEET FOR LAR'!$D$28)</f>
        <v>0</v>
      </c>
      <c r="I11" s="714"/>
      <c r="J11" s="713"/>
      <c r="K11" s="49"/>
    </row>
    <row r="12" spans="1:11" x14ac:dyDescent="0.2">
      <c r="A12" s="49" t="s">
        <v>411</v>
      </c>
      <c r="B12" s="49"/>
      <c r="C12" s="15"/>
      <c r="D12" s="15"/>
      <c r="E12" s="15"/>
      <c r="F12" s="15"/>
      <c r="G12" s="49"/>
      <c r="H12" s="15"/>
      <c r="I12" s="49"/>
      <c r="J12" s="49"/>
      <c r="K12" s="49"/>
    </row>
    <row r="13" spans="1:11" ht="15" x14ac:dyDescent="0.25">
      <c r="A13" s="49" t="s">
        <v>412</v>
      </c>
      <c r="B13" s="379" t="s">
        <v>315</v>
      </c>
      <c r="C13" s="384">
        <v>0</v>
      </c>
      <c r="D13" s="384">
        <v>0</v>
      </c>
      <c r="E13" s="384">
        <v>0</v>
      </c>
      <c r="F13" s="384">
        <v>0</v>
      </c>
      <c r="G13" s="49"/>
      <c r="H13" s="384">
        <v>0</v>
      </c>
      <c r="I13" s="49"/>
      <c r="J13" s="49"/>
      <c r="K13" s="49"/>
    </row>
    <row r="14" spans="1:11" ht="15" x14ac:dyDescent="0.25">
      <c r="A14" s="49" t="s">
        <v>413</v>
      </c>
      <c r="B14" s="379" t="s">
        <v>315</v>
      </c>
      <c r="C14" s="384">
        <v>0</v>
      </c>
      <c r="D14" s="384">
        <v>0</v>
      </c>
      <c r="E14" s="384">
        <v>0</v>
      </c>
      <c r="F14" s="384">
        <v>0</v>
      </c>
      <c r="G14" s="49"/>
      <c r="H14" s="384">
        <v>0</v>
      </c>
      <c r="I14" s="49"/>
      <c r="J14" s="49"/>
      <c r="K14" s="49"/>
    </row>
    <row r="15" spans="1:11" x14ac:dyDescent="0.2">
      <c r="A15" s="49"/>
      <c r="B15" s="49"/>
      <c r="C15" s="15"/>
      <c r="D15" s="430"/>
      <c r="E15" s="15"/>
      <c r="F15" s="15"/>
      <c r="G15" s="49"/>
      <c r="H15" s="15"/>
      <c r="I15" s="424"/>
      <c r="J15" s="424"/>
      <c r="K15" s="424"/>
    </row>
    <row r="16" spans="1:11" x14ac:dyDescent="0.2">
      <c r="A16" s="455" t="s">
        <v>414</v>
      </c>
      <c r="B16" s="49"/>
      <c r="C16" s="454">
        <f>SUM(C10:C15)</f>
        <v>0</v>
      </c>
      <c r="D16" s="454">
        <f t="shared" ref="D16:H16" si="0">SUM(D10:D15)</f>
        <v>0</v>
      </c>
      <c r="E16" s="454">
        <f t="shared" si="0"/>
        <v>0</v>
      </c>
      <c r="F16" s="454">
        <f t="shared" si="0"/>
        <v>0</v>
      </c>
      <c r="G16" s="49"/>
      <c r="H16" s="454">
        <f t="shared" si="0"/>
        <v>0</v>
      </c>
      <c r="I16" s="49"/>
      <c r="J16" s="49"/>
      <c r="K16" s="49"/>
    </row>
    <row r="17" spans="1:11" x14ac:dyDescent="0.2">
      <c r="A17" s="455"/>
      <c r="B17" s="49"/>
      <c r="C17" s="454"/>
      <c r="D17" s="454"/>
      <c r="E17" s="454"/>
      <c r="F17" s="454"/>
      <c r="G17" s="49"/>
      <c r="H17" s="454"/>
      <c r="I17" s="49"/>
      <c r="J17" s="49"/>
      <c r="K17" s="49"/>
    </row>
    <row r="18" spans="1:11" x14ac:dyDescent="0.2">
      <c r="A18" s="49"/>
      <c r="B18" s="49"/>
      <c r="C18" s="15"/>
      <c r="D18" s="15"/>
      <c r="E18" s="15"/>
      <c r="F18" s="15"/>
      <c r="G18" s="49"/>
      <c r="H18" s="15"/>
      <c r="I18" s="49"/>
      <c r="J18" s="49"/>
      <c r="K18" s="49"/>
    </row>
    <row r="19" spans="1:11" ht="15" x14ac:dyDescent="0.25">
      <c r="A19" s="49" t="s">
        <v>57</v>
      </c>
      <c r="B19" s="395" t="s">
        <v>156</v>
      </c>
      <c r="C19" s="415">
        <f>-'HE - Schedule 4 OFFICIAL'!D18</f>
        <v>0</v>
      </c>
      <c r="D19" s="415">
        <f>-'HE - Schedule 4 OFFICIAL'!F18</f>
        <v>0</v>
      </c>
      <c r="E19" s="415">
        <f>-'HE - Schedule 4 OFFICIAL'!H18</f>
        <v>0</v>
      </c>
      <c r="F19" s="415">
        <f>-'HE - Schedule 4 OFFICIAL'!J18</f>
        <v>0</v>
      </c>
      <c r="G19" s="49"/>
      <c r="H19" s="415">
        <f>-'HE - Schedule 4 OFFICIAL'!L18</f>
        <v>0</v>
      </c>
      <c r="I19" s="49" t="s">
        <v>342</v>
      </c>
      <c r="J19" s="49"/>
      <c r="K19" s="49"/>
    </row>
    <row r="20" spans="1:11" ht="14.25" x14ac:dyDescent="0.2">
      <c r="A20" s="49" t="s">
        <v>76</v>
      </c>
      <c r="B20" s="49"/>
      <c r="C20" s="15"/>
      <c r="D20" s="15"/>
      <c r="E20" s="15"/>
      <c r="F20" s="15"/>
      <c r="G20" s="49"/>
      <c r="H20" s="15"/>
      <c r="I20" s="49"/>
      <c r="J20" s="49"/>
      <c r="K20" s="49"/>
    </row>
    <row r="21" spans="1:11" ht="15" x14ac:dyDescent="0.25">
      <c r="A21" s="49" t="s">
        <v>58</v>
      </c>
      <c r="B21" s="395" t="s">
        <v>155</v>
      </c>
      <c r="C21" s="415">
        <f>-'HE - Schedule 5 OFFICIAL'!C31</f>
        <v>0</v>
      </c>
      <c r="D21" s="415">
        <f>-'HE - Schedule 5 OFFICIAL'!D31</f>
        <v>0</v>
      </c>
      <c r="E21" s="415">
        <f>-'HE - Schedule 5 OFFICIAL'!E31</f>
        <v>0</v>
      </c>
      <c r="F21" s="415">
        <f>-'HE - Schedule 5 OFFICIAL'!F31</f>
        <v>0</v>
      </c>
      <c r="G21" s="49"/>
      <c r="H21" s="415">
        <f>-'HE - Schedule 5 OFFICIAL'!G31</f>
        <v>0</v>
      </c>
      <c r="I21" s="49" t="s">
        <v>343</v>
      </c>
      <c r="J21" s="49"/>
      <c r="K21" s="49"/>
    </row>
    <row r="22" spans="1:11" ht="14.25" x14ac:dyDescent="0.2">
      <c r="A22" s="49" t="s">
        <v>77</v>
      </c>
      <c r="B22" s="49"/>
      <c r="C22" s="15"/>
      <c r="D22" s="15"/>
      <c r="E22" s="15"/>
      <c r="F22" s="15"/>
      <c r="G22" s="49"/>
      <c r="H22" s="15"/>
      <c r="I22" s="49"/>
      <c r="J22" s="49"/>
      <c r="K22" s="49"/>
    </row>
    <row r="23" spans="1:11" ht="15" x14ac:dyDescent="0.25">
      <c r="A23" s="49" t="s">
        <v>59</v>
      </c>
      <c r="B23" s="379" t="s">
        <v>154</v>
      </c>
      <c r="C23" s="418">
        <f>-'APS011 Sec II'!K29</f>
        <v>0</v>
      </c>
      <c r="D23" s="431">
        <v>0</v>
      </c>
      <c r="E23" s="414">
        <v>0</v>
      </c>
      <c r="F23" s="414">
        <v>0</v>
      </c>
      <c r="G23" s="49"/>
      <c r="H23" s="414">
        <f>F23</f>
        <v>0</v>
      </c>
      <c r="I23" s="49" t="s">
        <v>344</v>
      </c>
      <c r="J23" s="49"/>
      <c r="K23" s="49"/>
    </row>
    <row r="24" spans="1:11" x14ac:dyDescent="0.2">
      <c r="A24" s="49"/>
      <c r="B24" s="49"/>
      <c r="C24" s="15"/>
      <c r="D24" s="15"/>
      <c r="E24" s="15"/>
      <c r="F24" s="15"/>
      <c r="G24" s="49"/>
      <c r="H24" s="15"/>
      <c r="I24" s="49"/>
      <c r="J24" s="49"/>
      <c r="K24" s="49"/>
    </row>
    <row r="25" spans="1:11" x14ac:dyDescent="0.2">
      <c r="A25" s="49" t="s">
        <v>415</v>
      </c>
      <c r="B25" s="49"/>
      <c r="C25" s="456">
        <f>SUM(C18:C24)</f>
        <v>0</v>
      </c>
      <c r="D25" s="456">
        <f>SUM(D18:D24)</f>
        <v>0</v>
      </c>
      <c r="E25" s="456">
        <f>SUM(E18:E24)</f>
        <v>0</v>
      </c>
      <c r="F25" s="456">
        <f>SUM(F18:F24)</f>
        <v>0</v>
      </c>
      <c r="G25" s="454"/>
      <c r="H25" s="456">
        <f>SUM(H18:H24)</f>
        <v>0</v>
      </c>
      <c r="I25" s="49" t="s">
        <v>417</v>
      </c>
      <c r="J25" s="49"/>
      <c r="K25" s="49"/>
    </row>
    <row r="26" spans="1:11" x14ac:dyDescent="0.2">
      <c r="A26" s="49"/>
      <c r="B26" s="49"/>
      <c r="C26" s="15"/>
      <c r="D26" s="15"/>
      <c r="E26" s="15"/>
      <c r="F26" s="15"/>
      <c r="G26" s="49"/>
      <c r="H26" s="15"/>
      <c r="I26" s="49"/>
      <c r="J26" s="49"/>
      <c r="K26" s="49"/>
    </row>
    <row r="27" spans="1:11" ht="15" x14ac:dyDescent="0.25">
      <c r="A27" s="49" t="s">
        <v>416</v>
      </c>
      <c r="B27" s="49"/>
      <c r="C27" s="384">
        <v>0</v>
      </c>
      <c r="D27" s="384">
        <v>0</v>
      </c>
      <c r="E27" s="384">
        <v>0</v>
      </c>
      <c r="F27" s="384">
        <v>0</v>
      </c>
      <c r="G27" s="49"/>
      <c r="H27" s="384">
        <v>0</v>
      </c>
      <c r="I27" s="49"/>
      <c r="J27" s="49"/>
      <c r="K27" s="49"/>
    </row>
    <row r="28" spans="1:11" x14ac:dyDescent="0.2">
      <c r="A28" s="49"/>
      <c r="B28" s="49"/>
      <c r="C28" s="15"/>
      <c r="D28" s="15"/>
      <c r="E28" s="15"/>
      <c r="F28" s="15"/>
      <c r="G28" s="49"/>
      <c r="H28" s="15"/>
      <c r="I28" s="49"/>
      <c r="J28" s="49"/>
      <c r="K28" s="49"/>
    </row>
    <row r="29" spans="1:11" x14ac:dyDescent="0.2">
      <c r="A29" s="49"/>
      <c r="B29" s="49"/>
      <c r="C29" s="15"/>
      <c r="D29" s="15"/>
      <c r="E29" s="15"/>
      <c r="F29" s="15"/>
      <c r="G29" s="49"/>
      <c r="H29" s="15"/>
      <c r="I29" s="49"/>
      <c r="J29" s="49"/>
      <c r="K29" s="49"/>
    </row>
    <row r="30" spans="1:11" x14ac:dyDescent="0.2">
      <c r="C30" s="2"/>
      <c r="D30" s="2"/>
      <c r="E30" s="2"/>
      <c r="F30" s="2"/>
      <c r="G30" s="2"/>
    </row>
    <row r="31" spans="1:11" x14ac:dyDescent="0.2">
      <c r="C31" s="2"/>
      <c r="D31" s="2"/>
      <c r="E31" s="2"/>
      <c r="F31" s="2"/>
      <c r="G31" s="2"/>
    </row>
    <row r="32" spans="1:11" x14ac:dyDescent="0.2">
      <c r="C32" s="2"/>
      <c r="D32" s="2"/>
      <c r="E32" s="2"/>
      <c r="F32" s="2"/>
      <c r="G32" s="2"/>
    </row>
    <row r="33" spans="3:7" x14ac:dyDescent="0.2">
      <c r="C33" s="2"/>
      <c r="D33" s="2"/>
      <c r="E33" s="2"/>
      <c r="F33" s="2"/>
      <c r="G33" s="2"/>
    </row>
    <row r="34" spans="3:7" x14ac:dyDescent="0.2">
      <c r="C34" s="2"/>
      <c r="D34" s="2"/>
      <c r="E34" s="2"/>
      <c r="F34" s="2"/>
      <c r="G34" s="2"/>
    </row>
    <row r="35" spans="3:7" x14ac:dyDescent="0.2">
      <c r="C35" s="2"/>
      <c r="D35" s="2"/>
      <c r="E35" s="2"/>
      <c r="F35" s="2"/>
      <c r="G35" s="2"/>
    </row>
  </sheetData>
  <mergeCells count="4">
    <mergeCell ref="A1:K1"/>
    <mergeCell ref="A2:K2"/>
    <mergeCell ref="D4:F4"/>
    <mergeCell ref="I10:J11"/>
  </mergeCells>
  <printOptions gridLines="1"/>
  <pageMargins left="0.75" right="0.75" top="0.46" bottom="0.55000000000000004" header="0.5" footer="0.21"/>
  <pageSetup scale="34" orientation="portrait" r:id="rId1"/>
  <headerFooter alignWithMargins="0">
    <oddFooter xml:space="preserve">&amp;Lh:/cjr/lar2002 / &amp;F &amp;D &amp;T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P99"/>
  <sheetViews>
    <sheetView view="pageBreakPreview" zoomScale="90" zoomScaleNormal="100" zoomScaleSheetLayoutView="85" workbookViewId="0">
      <selection activeCell="C12" sqref="C12"/>
    </sheetView>
  </sheetViews>
  <sheetFormatPr defaultColWidth="9.140625" defaultRowHeight="18" x14ac:dyDescent="0.25"/>
  <cols>
    <col min="1" max="1" width="10.42578125" style="461" customWidth="1"/>
    <col min="2" max="2" width="12.5703125" style="457" customWidth="1"/>
    <col min="3" max="3" width="29.42578125" style="457" customWidth="1"/>
    <col min="4" max="4" width="17.7109375" style="457" customWidth="1"/>
    <col min="5" max="5" width="3.7109375" style="457" customWidth="1"/>
    <col min="6" max="6" width="17.7109375" style="457" customWidth="1"/>
    <col min="7" max="7" width="3.7109375" style="457" customWidth="1"/>
    <col min="8" max="8" width="17.7109375" style="457" customWidth="1"/>
    <col min="9" max="9" width="3.7109375" style="457" customWidth="1"/>
    <col min="10" max="10" width="16.42578125" style="457" customWidth="1"/>
    <col min="11" max="11" width="3.7109375" style="457" customWidth="1"/>
    <col min="12" max="12" width="16.42578125" style="457" customWidth="1"/>
    <col min="13" max="252" width="9.140625" style="457"/>
    <col min="253" max="253" width="10.42578125" style="457" customWidth="1"/>
    <col min="254" max="254" width="12.5703125" style="457" customWidth="1"/>
    <col min="255" max="255" width="29.42578125" style="457" customWidth="1"/>
    <col min="256" max="256" width="17.7109375" style="457" customWidth="1"/>
    <col min="257" max="257" width="3.7109375" style="457" customWidth="1"/>
    <col min="258" max="258" width="17.7109375" style="457" customWidth="1"/>
    <col min="259" max="259" width="3.7109375" style="457" customWidth="1"/>
    <col min="260" max="260" width="17.7109375" style="457" customWidth="1"/>
    <col min="261" max="261" width="3.7109375" style="457" customWidth="1"/>
    <col min="262" max="262" width="16.42578125" style="457" customWidth="1"/>
    <col min="263" max="263" width="3.7109375" style="457" customWidth="1"/>
    <col min="264" max="264" width="16.42578125" style="457" customWidth="1"/>
    <col min="265" max="508" width="9.140625" style="457"/>
    <col min="509" max="509" width="10.42578125" style="457" customWidth="1"/>
    <col min="510" max="510" width="12.5703125" style="457" customWidth="1"/>
    <col min="511" max="511" width="29.42578125" style="457" customWidth="1"/>
    <col min="512" max="512" width="17.7109375" style="457" customWidth="1"/>
    <col min="513" max="513" width="3.7109375" style="457" customWidth="1"/>
    <col min="514" max="514" width="17.7109375" style="457" customWidth="1"/>
    <col min="515" max="515" width="3.7109375" style="457" customWidth="1"/>
    <col min="516" max="516" width="17.7109375" style="457" customWidth="1"/>
    <col min="517" max="517" width="3.7109375" style="457" customWidth="1"/>
    <col min="518" max="518" width="16.42578125" style="457" customWidth="1"/>
    <col min="519" max="519" width="3.7109375" style="457" customWidth="1"/>
    <col min="520" max="520" width="16.42578125" style="457" customWidth="1"/>
    <col min="521" max="764" width="9.140625" style="457"/>
    <col min="765" max="765" width="10.42578125" style="457" customWidth="1"/>
    <col min="766" max="766" width="12.5703125" style="457" customWidth="1"/>
    <col min="767" max="767" width="29.42578125" style="457" customWidth="1"/>
    <col min="768" max="768" width="17.7109375" style="457" customWidth="1"/>
    <col min="769" max="769" width="3.7109375" style="457" customWidth="1"/>
    <col min="770" max="770" width="17.7109375" style="457" customWidth="1"/>
    <col min="771" max="771" width="3.7109375" style="457" customWidth="1"/>
    <col min="772" max="772" width="17.7109375" style="457" customWidth="1"/>
    <col min="773" max="773" width="3.7109375" style="457" customWidth="1"/>
    <col min="774" max="774" width="16.42578125" style="457" customWidth="1"/>
    <col min="775" max="775" width="3.7109375" style="457" customWidth="1"/>
    <col min="776" max="776" width="16.42578125" style="457" customWidth="1"/>
    <col min="777" max="1020" width="9.140625" style="457"/>
    <col min="1021" max="1021" width="10.42578125" style="457" customWidth="1"/>
    <col min="1022" max="1022" width="12.5703125" style="457" customWidth="1"/>
    <col min="1023" max="1023" width="29.42578125" style="457" customWidth="1"/>
    <col min="1024" max="1024" width="17.7109375" style="457" customWidth="1"/>
    <col min="1025" max="1025" width="3.7109375" style="457" customWidth="1"/>
    <col min="1026" max="1026" width="17.7109375" style="457" customWidth="1"/>
    <col min="1027" max="1027" width="3.7109375" style="457" customWidth="1"/>
    <col min="1028" max="1028" width="17.7109375" style="457" customWidth="1"/>
    <col min="1029" max="1029" width="3.7109375" style="457" customWidth="1"/>
    <col min="1030" max="1030" width="16.42578125" style="457" customWidth="1"/>
    <col min="1031" max="1031" width="3.7109375" style="457" customWidth="1"/>
    <col min="1032" max="1032" width="16.42578125" style="457" customWidth="1"/>
    <col min="1033" max="1276" width="9.140625" style="457"/>
    <col min="1277" max="1277" width="10.42578125" style="457" customWidth="1"/>
    <col min="1278" max="1278" width="12.5703125" style="457" customWidth="1"/>
    <col min="1279" max="1279" width="29.42578125" style="457" customWidth="1"/>
    <col min="1280" max="1280" width="17.7109375" style="457" customWidth="1"/>
    <col min="1281" max="1281" width="3.7109375" style="457" customWidth="1"/>
    <col min="1282" max="1282" width="17.7109375" style="457" customWidth="1"/>
    <col min="1283" max="1283" width="3.7109375" style="457" customWidth="1"/>
    <col min="1284" max="1284" width="17.7109375" style="457" customWidth="1"/>
    <col min="1285" max="1285" width="3.7109375" style="457" customWidth="1"/>
    <col min="1286" max="1286" width="16.42578125" style="457" customWidth="1"/>
    <col min="1287" max="1287" width="3.7109375" style="457" customWidth="1"/>
    <col min="1288" max="1288" width="16.42578125" style="457" customWidth="1"/>
    <col min="1289" max="1532" width="9.140625" style="457"/>
    <col min="1533" max="1533" width="10.42578125" style="457" customWidth="1"/>
    <col min="1534" max="1534" width="12.5703125" style="457" customWidth="1"/>
    <col min="1535" max="1535" width="29.42578125" style="457" customWidth="1"/>
    <col min="1536" max="1536" width="17.7109375" style="457" customWidth="1"/>
    <col min="1537" max="1537" width="3.7109375" style="457" customWidth="1"/>
    <col min="1538" max="1538" width="17.7109375" style="457" customWidth="1"/>
    <col min="1539" max="1539" width="3.7109375" style="457" customWidth="1"/>
    <col min="1540" max="1540" width="17.7109375" style="457" customWidth="1"/>
    <col min="1541" max="1541" width="3.7109375" style="457" customWidth="1"/>
    <col min="1542" max="1542" width="16.42578125" style="457" customWidth="1"/>
    <col min="1543" max="1543" width="3.7109375" style="457" customWidth="1"/>
    <col min="1544" max="1544" width="16.42578125" style="457" customWidth="1"/>
    <col min="1545" max="1788" width="9.140625" style="457"/>
    <col min="1789" max="1789" width="10.42578125" style="457" customWidth="1"/>
    <col min="1790" max="1790" width="12.5703125" style="457" customWidth="1"/>
    <col min="1791" max="1791" width="29.42578125" style="457" customWidth="1"/>
    <col min="1792" max="1792" width="17.7109375" style="457" customWidth="1"/>
    <col min="1793" max="1793" width="3.7109375" style="457" customWidth="1"/>
    <col min="1794" max="1794" width="17.7109375" style="457" customWidth="1"/>
    <col min="1795" max="1795" width="3.7109375" style="457" customWidth="1"/>
    <col min="1796" max="1796" width="17.7109375" style="457" customWidth="1"/>
    <col min="1797" max="1797" width="3.7109375" style="457" customWidth="1"/>
    <col min="1798" max="1798" width="16.42578125" style="457" customWidth="1"/>
    <col min="1799" max="1799" width="3.7109375" style="457" customWidth="1"/>
    <col min="1800" max="1800" width="16.42578125" style="457" customWidth="1"/>
    <col min="1801" max="2044" width="9.140625" style="457"/>
    <col min="2045" max="2045" width="10.42578125" style="457" customWidth="1"/>
    <col min="2046" max="2046" width="12.5703125" style="457" customWidth="1"/>
    <col min="2047" max="2047" width="29.42578125" style="457" customWidth="1"/>
    <col min="2048" max="2048" width="17.7109375" style="457" customWidth="1"/>
    <col min="2049" max="2049" width="3.7109375" style="457" customWidth="1"/>
    <col min="2050" max="2050" width="17.7109375" style="457" customWidth="1"/>
    <col min="2051" max="2051" width="3.7109375" style="457" customWidth="1"/>
    <col min="2052" max="2052" width="17.7109375" style="457" customWidth="1"/>
    <col min="2053" max="2053" width="3.7109375" style="457" customWidth="1"/>
    <col min="2054" max="2054" width="16.42578125" style="457" customWidth="1"/>
    <col min="2055" max="2055" width="3.7109375" style="457" customWidth="1"/>
    <col min="2056" max="2056" width="16.42578125" style="457" customWidth="1"/>
    <col min="2057" max="2300" width="9.140625" style="457"/>
    <col min="2301" max="2301" width="10.42578125" style="457" customWidth="1"/>
    <col min="2302" max="2302" width="12.5703125" style="457" customWidth="1"/>
    <col min="2303" max="2303" width="29.42578125" style="457" customWidth="1"/>
    <col min="2304" max="2304" width="17.7109375" style="457" customWidth="1"/>
    <col min="2305" max="2305" width="3.7109375" style="457" customWidth="1"/>
    <col min="2306" max="2306" width="17.7109375" style="457" customWidth="1"/>
    <col min="2307" max="2307" width="3.7109375" style="457" customWidth="1"/>
    <col min="2308" max="2308" width="17.7109375" style="457" customWidth="1"/>
    <col min="2309" max="2309" width="3.7109375" style="457" customWidth="1"/>
    <col min="2310" max="2310" width="16.42578125" style="457" customWidth="1"/>
    <col min="2311" max="2311" width="3.7109375" style="457" customWidth="1"/>
    <col min="2312" max="2312" width="16.42578125" style="457" customWidth="1"/>
    <col min="2313" max="2556" width="9.140625" style="457"/>
    <col min="2557" max="2557" width="10.42578125" style="457" customWidth="1"/>
    <col min="2558" max="2558" width="12.5703125" style="457" customWidth="1"/>
    <col min="2559" max="2559" width="29.42578125" style="457" customWidth="1"/>
    <col min="2560" max="2560" width="17.7109375" style="457" customWidth="1"/>
    <col min="2561" max="2561" width="3.7109375" style="457" customWidth="1"/>
    <col min="2562" max="2562" width="17.7109375" style="457" customWidth="1"/>
    <col min="2563" max="2563" width="3.7109375" style="457" customWidth="1"/>
    <col min="2564" max="2564" width="17.7109375" style="457" customWidth="1"/>
    <col min="2565" max="2565" width="3.7109375" style="457" customWidth="1"/>
    <col min="2566" max="2566" width="16.42578125" style="457" customWidth="1"/>
    <col min="2567" max="2567" width="3.7109375" style="457" customWidth="1"/>
    <col min="2568" max="2568" width="16.42578125" style="457" customWidth="1"/>
    <col min="2569" max="2812" width="9.140625" style="457"/>
    <col min="2813" max="2813" width="10.42578125" style="457" customWidth="1"/>
    <col min="2814" max="2814" width="12.5703125" style="457" customWidth="1"/>
    <col min="2815" max="2815" width="29.42578125" style="457" customWidth="1"/>
    <col min="2816" max="2816" width="17.7109375" style="457" customWidth="1"/>
    <col min="2817" max="2817" width="3.7109375" style="457" customWidth="1"/>
    <col min="2818" max="2818" width="17.7109375" style="457" customWidth="1"/>
    <col min="2819" max="2819" width="3.7109375" style="457" customWidth="1"/>
    <col min="2820" max="2820" width="17.7109375" style="457" customWidth="1"/>
    <col min="2821" max="2821" width="3.7109375" style="457" customWidth="1"/>
    <col min="2822" max="2822" width="16.42578125" style="457" customWidth="1"/>
    <col min="2823" max="2823" width="3.7109375" style="457" customWidth="1"/>
    <col min="2824" max="2824" width="16.42578125" style="457" customWidth="1"/>
    <col min="2825" max="3068" width="9.140625" style="457"/>
    <col min="3069" max="3069" width="10.42578125" style="457" customWidth="1"/>
    <col min="3070" max="3070" width="12.5703125" style="457" customWidth="1"/>
    <col min="3071" max="3071" width="29.42578125" style="457" customWidth="1"/>
    <col min="3072" max="3072" width="17.7109375" style="457" customWidth="1"/>
    <col min="3073" max="3073" width="3.7109375" style="457" customWidth="1"/>
    <col min="3074" max="3074" width="17.7109375" style="457" customWidth="1"/>
    <col min="3075" max="3075" width="3.7109375" style="457" customWidth="1"/>
    <col min="3076" max="3076" width="17.7109375" style="457" customWidth="1"/>
    <col min="3077" max="3077" width="3.7109375" style="457" customWidth="1"/>
    <col min="3078" max="3078" width="16.42578125" style="457" customWidth="1"/>
    <col min="3079" max="3079" width="3.7109375" style="457" customWidth="1"/>
    <col min="3080" max="3080" width="16.42578125" style="457" customWidth="1"/>
    <col min="3081" max="3324" width="9.140625" style="457"/>
    <col min="3325" max="3325" width="10.42578125" style="457" customWidth="1"/>
    <col min="3326" max="3326" width="12.5703125" style="457" customWidth="1"/>
    <col min="3327" max="3327" width="29.42578125" style="457" customWidth="1"/>
    <col min="3328" max="3328" width="17.7109375" style="457" customWidth="1"/>
    <col min="3329" max="3329" width="3.7109375" style="457" customWidth="1"/>
    <col min="3330" max="3330" width="17.7109375" style="457" customWidth="1"/>
    <col min="3331" max="3331" width="3.7109375" style="457" customWidth="1"/>
    <col min="3332" max="3332" width="17.7109375" style="457" customWidth="1"/>
    <col min="3333" max="3333" width="3.7109375" style="457" customWidth="1"/>
    <col min="3334" max="3334" width="16.42578125" style="457" customWidth="1"/>
    <col min="3335" max="3335" width="3.7109375" style="457" customWidth="1"/>
    <col min="3336" max="3336" width="16.42578125" style="457" customWidth="1"/>
    <col min="3337" max="3580" width="9.140625" style="457"/>
    <col min="3581" max="3581" width="10.42578125" style="457" customWidth="1"/>
    <col min="3582" max="3582" width="12.5703125" style="457" customWidth="1"/>
    <col min="3583" max="3583" width="29.42578125" style="457" customWidth="1"/>
    <col min="3584" max="3584" width="17.7109375" style="457" customWidth="1"/>
    <col min="3585" max="3585" width="3.7109375" style="457" customWidth="1"/>
    <col min="3586" max="3586" width="17.7109375" style="457" customWidth="1"/>
    <col min="3587" max="3587" width="3.7109375" style="457" customWidth="1"/>
    <col min="3588" max="3588" width="17.7109375" style="457" customWidth="1"/>
    <col min="3589" max="3589" width="3.7109375" style="457" customWidth="1"/>
    <col min="3590" max="3590" width="16.42578125" style="457" customWidth="1"/>
    <col min="3591" max="3591" width="3.7109375" style="457" customWidth="1"/>
    <col min="3592" max="3592" width="16.42578125" style="457" customWidth="1"/>
    <col min="3593" max="3836" width="9.140625" style="457"/>
    <col min="3837" max="3837" width="10.42578125" style="457" customWidth="1"/>
    <col min="3838" max="3838" width="12.5703125" style="457" customWidth="1"/>
    <col min="3839" max="3839" width="29.42578125" style="457" customWidth="1"/>
    <col min="3840" max="3840" width="17.7109375" style="457" customWidth="1"/>
    <col min="3841" max="3841" width="3.7109375" style="457" customWidth="1"/>
    <col min="3842" max="3842" width="17.7109375" style="457" customWidth="1"/>
    <col min="3843" max="3843" width="3.7109375" style="457" customWidth="1"/>
    <col min="3844" max="3844" width="17.7109375" style="457" customWidth="1"/>
    <col min="3845" max="3845" width="3.7109375" style="457" customWidth="1"/>
    <col min="3846" max="3846" width="16.42578125" style="457" customWidth="1"/>
    <col min="3847" max="3847" width="3.7109375" style="457" customWidth="1"/>
    <col min="3848" max="3848" width="16.42578125" style="457" customWidth="1"/>
    <col min="3849" max="4092" width="9.140625" style="457"/>
    <col min="4093" max="4093" width="10.42578125" style="457" customWidth="1"/>
    <col min="4094" max="4094" width="12.5703125" style="457" customWidth="1"/>
    <col min="4095" max="4095" width="29.42578125" style="457" customWidth="1"/>
    <col min="4096" max="4096" width="17.7109375" style="457" customWidth="1"/>
    <col min="4097" max="4097" width="3.7109375" style="457" customWidth="1"/>
    <col min="4098" max="4098" width="17.7109375" style="457" customWidth="1"/>
    <col min="4099" max="4099" width="3.7109375" style="457" customWidth="1"/>
    <col min="4100" max="4100" width="17.7109375" style="457" customWidth="1"/>
    <col min="4101" max="4101" width="3.7109375" style="457" customWidth="1"/>
    <col min="4102" max="4102" width="16.42578125" style="457" customWidth="1"/>
    <col min="4103" max="4103" width="3.7109375" style="457" customWidth="1"/>
    <col min="4104" max="4104" width="16.42578125" style="457" customWidth="1"/>
    <col min="4105" max="4348" width="9.140625" style="457"/>
    <col min="4349" max="4349" width="10.42578125" style="457" customWidth="1"/>
    <col min="4350" max="4350" width="12.5703125" style="457" customWidth="1"/>
    <col min="4351" max="4351" width="29.42578125" style="457" customWidth="1"/>
    <col min="4352" max="4352" width="17.7109375" style="457" customWidth="1"/>
    <col min="4353" max="4353" width="3.7109375" style="457" customWidth="1"/>
    <col min="4354" max="4354" width="17.7109375" style="457" customWidth="1"/>
    <col min="4355" max="4355" width="3.7109375" style="457" customWidth="1"/>
    <col min="4356" max="4356" width="17.7109375" style="457" customWidth="1"/>
    <col min="4357" max="4357" width="3.7109375" style="457" customWidth="1"/>
    <col min="4358" max="4358" width="16.42578125" style="457" customWidth="1"/>
    <col min="4359" max="4359" width="3.7109375" style="457" customWidth="1"/>
    <col min="4360" max="4360" width="16.42578125" style="457" customWidth="1"/>
    <col min="4361" max="4604" width="9.140625" style="457"/>
    <col min="4605" max="4605" width="10.42578125" style="457" customWidth="1"/>
    <col min="4606" max="4606" width="12.5703125" style="457" customWidth="1"/>
    <col min="4607" max="4607" width="29.42578125" style="457" customWidth="1"/>
    <col min="4608" max="4608" width="17.7109375" style="457" customWidth="1"/>
    <col min="4609" max="4609" width="3.7109375" style="457" customWidth="1"/>
    <col min="4610" max="4610" width="17.7109375" style="457" customWidth="1"/>
    <col min="4611" max="4611" width="3.7109375" style="457" customWidth="1"/>
    <col min="4612" max="4612" width="17.7109375" style="457" customWidth="1"/>
    <col min="4613" max="4613" width="3.7109375" style="457" customWidth="1"/>
    <col min="4614" max="4614" width="16.42578125" style="457" customWidth="1"/>
    <col min="4615" max="4615" width="3.7109375" style="457" customWidth="1"/>
    <col min="4616" max="4616" width="16.42578125" style="457" customWidth="1"/>
    <col min="4617" max="4860" width="9.140625" style="457"/>
    <col min="4861" max="4861" width="10.42578125" style="457" customWidth="1"/>
    <col min="4862" max="4862" width="12.5703125" style="457" customWidth="1"/>
    <col min="4863" max="4863" width="29.42578125" style="457" customWidth="1"/>
    <col min="4864" max="4864" width="17.7109375" style="457" customWidth="1"/>
    <col min="4865" max="4865" width="3.7109375" style="457" customWidth="1"/>
    <col min="4866" max="4866" width="17.7109375" style="457" customWidth="1"/>
    <col min="4867" max="4867" width="3.7109375" style="457" customWidth="1"/>
    <col min="4868" max="4868" width="17.7109375" style="457" customWidth="1"/>
    <col min="4869" max="4869" width="3.7109375" style="457" customWidth="1"/>
    <col min="4870" max="4870" width="16.42578125" style="457" customWidth="1"/>
    <col min="4871" max="4871" width="3.7109375" style="457" customWidth="1"/>
    <col min="4872" max="4872" width="16.42578125" style="457" customWidth="1"/>
    <col min="4873" max="5116" width="9.140625" style="457"/>
    <col min="5117" max="5117" width="10.42578125" style="457" customWidth="1"/>
    <col min="5118" max="5118" width="12.5703125" style="457" customWidth="1"/>
    <col min="5119" max="5119" width="29.42578125" style="457" customWidth="1"/>
    <col min="5120" max="5120" width="17.7109375" style="457" customWidth="1"/>
    <col min="5121" max="5121" width="3.7109375" style="457" customWidth="1"/>
    <col min="5122" max="5122" width="17.7109375" style="457" customWidth="1"/>
    <col min="5123" max="5123" width="3.7109375" style="457" customWidth="1"/>
    <col min="5124" max="5124" width="17.7109375" style="457" customWidth="1"/>
    <col min="5125" max="5125" width="3.7109375" style="457" customWidth="1"/>
    <col min="5126" max="5126" width="16.42578125" style="457" customWidth="1"/>
    <col min="5127" max="5127" width="3.7109375" style="457" customWidth="1"/>
    <col min="5128" max="5128" width="16.42578125" style="457" customWidth="1"/>
    <col min="5129" max="5372" width="9.140625" style="457"/>
    <col min="5373" max="5373" width="10.42578125" style="457" customWidth="1"/>
    <col min="5374" max="5374" width="12.5703125" style="457" customWidth="1"/>
    <col min="5375" max="5375" width="29.42578125" style="457" customWidth="1"/>
    <col min="5376" max="5376" width="17.7109375" style="457" customWidth="1"/>
    <col min="5377" max="5377" width="3.7109375" style="457" customWidth="1"/>
    <col min="5378" max="5378" width="17.7109375" style="457" customWidth="1"/>
    <col min="5379" max="5379" width="3.7109375" style="457" customWidth="1"/>
    <col min="5380" max="5380" width="17.7109375" style="457" customWidth="1"/>
    <col min="5381" max="5381" width="3.7109375" style="457" customWidth="1"/>
    <col min="5382" max="5382" width="16.42578125" style="457" customWidth="1"/>
    <col min="5383" max="5383" width="3.7109375" style="457" customWidth="1"/>
    <col min="5384" max="5384" width="16.42578125" style="457" customWidth="1"/>
    <col min="5385" max="5628" width="9.140625" style="457"/>
    <col min="5629" max="5629" width="10.42578125" style="457" customWidth="1"/>
    <col min="5630" max="5630" width="12.5703125" style="457" customWidth="1"/>
    <col min="5631" max="5631" width="29.42578125" style="457" customWidth="1"/>
    <col min="5632" max="5632" width="17.7109375" style="457" customWidth="1"/>
    <col min="5633" max="5633" width="3.7109375" style="457" customWidth="1"/>
    <col min="5634" max="5634" width="17.7109375" style="457" customWidth="1"/>
    <col min="5635" max="5635" width="3.7109375" style="457" customWidth="1"/>
    <col min="5636" max="5636" width="17.7109375" style="457" customWidth="1"/>
    <col min="5637" max="5637" width="3.7109375" style="457" customWidth="1"/>
    <col min="5638" max="5638" width="16.42578125" style="457" customWidth="1"/>
    <col min="5639" max="5639" width="3.7109375" style="457" customWidth="1"/>
    <col min="5640" max="5640" width="16.42578125" style="457" customWidth="1"/>
    <col min="5641" max="5884" width="9.140625" style="457"/>
    <col min="5885" max="5885" width="10.42578125" style="457" customWidth="1"/>
    <col min="5886" max="5886" width="12.5703125" style="457" customWidth="1"/>
    <col min="5887" max="5887" width="29.42578125" style="457" customWidth="1"/>
    <col min="5888" max="5888" width="17.7109375" style="457" customWidth="1"/>
    <col min="5889" max="5889" width="3.7109375" style="457" customWidth="1"/>
    <col min="5890" max="5890" width="17.7109375" style="457" customWidth="1"/>
    <col min="5891" max="5891" width="3.7109375" style="457" customWidth="1"/>
    <col min="5892" max="5892" width="17.7109375" style="457" customWidth="1"/>
    <col min="5893" max="5893" width="3.7109375" style="457" customWidth="1"/>
    <col min="5894" max="5894" width="16.42578125" style="457" customWidth="1"/>
    <col min="5895" max="5895" width="3.7109375" style="457" customWidth="1"/>
    <col min="5896" max="5896" width="16.42578125" style="457" customWidth="1"/>
    <col min="5897" max="6140" width="9.140625" style="457"/>
    <col min="6141" max="6141" width="10.42578125" style="457" customWidth="1"/>
    <col min="6142" max="6142" width="12.5703125" style="457" customWidth="1"/>
    <col min="6143" max="6143" width="29.42578125" style="457" customWidth="1"/>
    <col min="6144" max="6144" width="17.7109375" style="457" customWidth="1"/>
    <col min="6145" max="6145" width="3.7109375" style="457" customWidth="1"/>
    <col min="6146" max="6146" width="17.7109375" style="457" customWidth="1"/>
    <col min="6147" max="6147" width="3.7109375" style="457" customWidth="1"/>
    <col min="6148" max="6148" width="17.7109375" style="457" customWidth="1"/>
    <col min="6149" max="6149" width="3.7109375" style="457" customWidth="1"/>
    <col min="6150" max="6150" width="16.42578125" style="457" customWidth="1"/>
    <col min="6151" max="6151" width="3.7109375" style="457" customWidth="1"/>
    <col min="6152" max="6152" width="16.42578125" style="457" customWidth="1"/>
    <col min="6153" max="6396" width="9.140625" style="457"/>
    <col min="6397" max="6397" width="10.42578125" style="457" customWidth="1"/>
    <col min="6398" max="6398" width="12.5703125" style="457" customWidth="1"/>
    <col min="6399" max="6399" width="29.42578125" style="457" customWidth="1"/>
    <col min="6400" max="6400" width="17.7109375" style="457" customWidth="1"/>
    <col min="6401" max="6401" width="3.7109375" style="457" customWidth="1"/>
    <col min="6402" max="6402" width="17.7109375" style="457" customWidth="1"/>
    <col min="6403" max="6403" width="3.7109375" style="457" customWidth="1"/>
    <col min="6404" max="6404" width="17.7109375" style="457" customWidth="1"/>
    <col min="6405" max="6405" width="3.7109375" style="457" customWidth="1"/>
    <col min="6406" max="6406" width="16.42578125" style="457" customWidth="1"/>
    <col min="6407" max="6407" width="3.7109375" style="457" customWidth="1"/>
    <col min="6408" max="6408" width="16.42578125" style="457" customWidth="1"/>
    <col min="6409" max="6652" width="9.140625" style="457"/>
    <col min="6653" max="6653" width="10.42578125" style="457" customWidth="1"/>
    <col min="6654" max="6654" width="12.5703125" style="457" customWidth="1"/>
    <col min="6655" max="6655" width="29.42578125" style="457" customWidth="1"/>
    <col min="6656" max="6656" width="17.7109375" style="457" customWidth="1"/>
    <col min="6657" max="6657" width="3.7109375" style="457" customWidth="1"/>
    <col min="6658" max="6658" width="17.7109375" style="457" customWidth="1"/>
    <col min="6659" max="6659" width="3.7109375" style="457" customWidth="1"/>
    <col min="6660" max="6660" width="17.7109375" style="457" customWidth="1"/>
    <col min="6661" max="6661" width="3.7109375" style="457" customWidth="1"/>
    <col min="6662" max="6662" width="16.42578125" style="457" customWidth="1"/>
    <col min="6663" max="6663" width="3.7109375" style="457" customWidth="1"/>
    <col min="6664" max="6664" width="16.42578125" style="457" customWidth="1"/>
    <col min="6665" max="6908" width="9.140625" style="457"/>
    <col min="6909" max="6909" width="10.42578125" style="457" customWidth="1"/>
    <col min="6910" max="6910" width="12.5703125" style="457" customWidth="1"/>
    <col min="6911" max="6911" width="29.42578125" style="457" customWidth="1"/>
    <col min="6912" max="6912" width="17.7109375" style="457" customWidth="1"/>
    <col min="6913" max="6913" width="3.7109375" style="457" customWidth="1"/>
    <col min="6914" max="6914" width="17.7109375" style="457" customWidth="1"/>
    <col min="6915" max="6915" width="3.7109375" style="457" customWidth="1"/>
    <col min="6916" max="6916" width="17.7109375" style="457" customWidth="1"/>
    <col min="6917" max="6917" width="3.7109375" style="457" customWidth="1"/>
    <col min="6918" max="6918" width="16.42578125" style="457" customWidth="1"/>
    <col min="6919" max="6919" width="3.7109375" style="457" customWidth="1"/>
    <col min="6920" max="6920" width="16.42578125" style="457" customWidth="1"/>
    <col min="6921" max="7164" width="9.140625" style="457"/>
    <col min="7165" max="7165" width="10.42578125" style="457" customWidth="1"/>
    <col min="7166" max="7166" width="12.5703125" style="457" customWidth="1"/>
    <col min="7167" max="7167" width="29.42578125" style="457" customWidth="1"/>
    <col min="7168" max="7168" width="17.7109375" style="457" customWidth="1"/>
    <col min="7169" max="7169" width="3.7109375" style="457" customWidth="1"/>
    <col min="7170" max="7170" width="17.7109375" style="457" customWidth="1"/>
    <col min="7171" max="7171" width="3.7109375" style="457" customWidth="1"/>
    <col min="7172" max="7172" width="17.7109375" style="457" customWidth="1"/>
    <col min="7173" max="7173" width="3.7109375" style="457" customWidth="1"/>
    <col min="7174" max="7174" width="16.42578125" style="457" customWidth="1"/>
    <col min="7175" max="7175" width="3.7109375" style="457" customWidth="1"/>
    <col min="7176" max="7176" width="16.42578125" style="457" customWidth="1"/>
    <col min="7177" max="7420" width="9.140625" style="457"/>
    <col min="7421" max="7421" width="10.42578125" style="457" customWidth="1"/>
    <col min="7422" max="7422" width="12.5703125" style="457" customWidth="1"/>
    <col min="7423" max="7423" width="29.42578125" style="457" customWidth="1"/>
    <col min="7424" max="7424" width="17.7109375" style="457" customWidth="1"/>
    <col min="7425" max="7425" width="3.7109375" style="457" customWidth="1"/>
    <col min="7426" max="7426" width="17.7109375" style="457" customWidth="1"/>
    <col min="7427" max="7427" width="3.7109375" style="457" customWidth="1"/>
    <col min="7428" max="7428" width="17.7109375" style="457" customWidth="1"/>
    <col min="7429" max="7429" width="3.7109375" style="457" customWidth="1"/>
    <col min="7430" max="7430" width="16.42578125" style="457" customWidth="1"/>
    <col min="7431" max="7431" width="3.7109375" style="457" customWidth="1"/>
    <col min="7432" max="7432" width="16.42578125" style="457" customWidth="1"/>
    <col min="7433" max="7676" width="9.140625" style="457"/>
    <col min="7677" max="7677" width="10.42578125" style="457" customWidth="1"/>
    <col min="7678" max="7678" width="12.5703125" style="457" customWidth="1"/>
    <col min="7679" max="7679" width="29.42578125" style="457" customWidth="1"/>
    <col min="7680" max="7680" width="17.7109375" style="457" customWidth="1"/>
    <col min="7681" max="7681" width="3.7109375" style="457" customWidth="1"/>
    <col min="7682" max="7682" width="17.7109375" style="457" customWidth="1"/>
    <col min="7683" max="7683" width="3.7109375" style="457" customWidth="1"/>
    <col min="7684" max="7684" width="17.7109375" style="457" customWidth="1"/>
    <col min="7685" max="7685" width="3.7109375" style="457" customWidth="1"/>
    <col min="7686" max="7686" width="16.42578125" style="457" customWidth="1"/>
    <col min="7687" max="7687" width="3.7109375" style="457" customWidth="1"/>
    <col min="7688" max="7688" width="16.42578125" style="457" customWidth="1"/>
    <col min="7689" max="7932" width="9.140625" style="457"/>
    <col min="7933" max="7933" width="10.42578125" style="457" customWidth="1"/>
    <col min="7934" max="7934" width="12.5703125" style="457" customWidth="1"/>
    <col min="7935" max="7935" width="29.42578125" style="457" customWidth="1"/>
    <col min="7936" max="7936" width="17.7109375" style="457" customWidth="1"/>
    <col min="7937" max="7937" width="3.7109375" style="457" customWidth="1"/>
    <col min="7938" max="7938" width="17.7109375" style="457" customWidth="1"/>
    <col min="7939" max="7939" width="3.7109375" style="457" customWidth="1"/>
    <col min="7940" max="7940" width="17.7109375" style="457" customWidth="1"/>
    <col min="7941" max="7941" width="3.7109375" style="457" customWidth="1"/>
    <col min="7942" max="7942" width="16.42578125" style="457" customWidth="1"/>
    <col min="7943" max="7943" width="3.7109375" style="457" customWidth="1"/>
    <col min="7944" max="7944" width="16.42578125" style="457" customWidth="1"/>
    <col min="7945" max="8188" width="9.140625" style="457"/>
    <col min="8189" max="8189" width="10.42578125" style="457" customWidth="1"/>
    <col min="8190" max="8190" width="12.5703125" style="457" customWidth="1"/>
    <col min="8191" max="8191" width="29.42578125" style="457" customWidth="1"/>
    <col min="8192" max="8192" width="17.7109375" style="457" customWidth="1"/>
    <col min="8193" max="8193" width="3.7109375" style="457" customWidth="1"/>
    <col min="8194" max="8194" width="17.7109375" style="457" customWidth="1"/>
    <col min="8195" max="8195" width="3.7109375" style="457" customWidth="1"/>
    <col min="8196" max="8196" width="17.7109375" style="457" customWidth="1"/>
    <col min="8197" max="8197" width="3.7109375" style="457" customWidth="1"/>
    <col min="8198" max="8198" width="16.42578125" style="457" customWidth="1"/>
    <col min="8199" max="8199" width="3.7109375" style="457" customWidth="1"/>
    <col min="8200" max="8200" width="16.42578125" style="457" customWidth="1"/>
    <col min="8201" max="8444" width="9.140625" style="457"/>
    <col min="8445" max="8445" width="10.42578125" style="457" customWidth="1"/>
    <col min="8446" max="8446" width="12.5703125" style="457" customWidth="1"/>
    <col min="8447" max="8447" width="29.42578125" style="457" customWidth="1"/>
    <col min="8448" max="8448" width="17.7109375" style="457" customWidth="1"/>
    <col min="8449" max="8449" width="3.7109375" style="457" customWidth="1"/>
    <col min="8450" max="8450" width="17.7109375" style="457" customWidth="1"/>
    <col min="8451" max="8451" width="3.7109375" style="457" customWidth="1"/>
    <col min="8452" max="8452" width="17.7109375" style="457" customWidth="1"/>
    <col min="8453" max="8453" width="3.7109375" style="457" customWidth="1"/>
    <col min="8454" max="8454" width="16.42578125" style="457" customWidth="1"/>
    <col min="8455" max="8455" width="3.7109375" style="457" customWidth="1"/>
    <col min="8456" max="8456" width="16.42578125" style="457" customWidth="1"/>
    <col min="8457" max="8700" width="9.140625" style="457"/>
    <col min="8701" max="8701" width="10.42578125" style="457" customWidth="1"/>
    <col min="8702" max="8702" width="12.5703125" style="457" customWidth="1"/>
    <col min="8703" max="8703" width="29.42578125" style="457" customWidth="1"/>
    <col min="8704" max="8704" width="17.7109375" style="457" customWidth="1"/>
    <col min="8705" max="8705" width="3.7109375" style="457" customWidth="1"/>
    <col min="8706" max="8706" width="17.7109375" style="457" customWidth="1"/>
    <col min="8707" max="8707" width="3.7109375" style="457" customWidth="1"/>
    <col min="8708" max="8708" width="17.7109375" style="457" customWidth="1"/>
    <col min="8709" max="8709" width="3.7109375" style="457" customWidth="1"/>
    <col min="8710" max="8710" width="16.42578125" style="457" customWidth="1"/>
    <col min="8711" max="8711" width="3.7109375" style="457" customWidth="1"/>
    <col min="8712" max="8712" width="16.42578125" style="457" customWidth="1"/>
    <col min="8713" max="8956" width="9.140625" style="457"/>
    <col min="8957" max="8957" width="10.42578125" style="457" customWidth="1"/>
    <col min="8958" max="8958" width="12.5703125" style="457" customWidth="1"/>
    <col min="8959" max="8959" width="29.42578125" style="457" customWidth="1"/>
    <col min="8960" max="8960" width="17.7109375" style="457" customWidth="1"/>
    <col min="8961" max="8961" width="3.7109375" style="457" customWidth="1"/>
    <col min="8962" max="8962" width="17.7109375" style="457" customWidth="1"/>
    <col min="8963" max="8963" width="3.7109375" style="457" customWidth="1"/>
    <col min="8964" max="8964" width="17.7109375" style="457" customWidth="1"/>
    <col min="8965" max="8965" width="3.7109375" style="457" customWidth="1"/>
    <col min="8966" max="8966" width="16.42578125" style="457" customWidth="1"/>
    <col min="8967" max="8967" width="3.7109375" style="457" customWidth="1"/>
    <col min="8968" max="8968" width="16.42578125" style="457" customWidth="1"/>
    <col min="8969" max="9212" width="9.140625" style="457"/>
    <col min="9213" max="9213" width="10.42578125" style="457" customWidth="1"/>
    <col min="9214" max="9214" width="12.5703125" style="457" customWidth="1"/>
    <col min="9215" max="9215" width="29.42578125" style="457" customWidth="1"/>
    <col min="9216" max="9216" width="17.7109375" style="457" customWidth="1"/>
    <col min="9217" max="9217" width="3.7109375" style="457" customWidth="1"/>
    <col min="9218" max="9218" width="17.7109375" style="457" customWidth="1"/>
    <col min="9219" max="9219" width="3.7109375" style="457" customWidth="1"/>
    <col min="9220" max="9220" width="17.7109375" style="457" customWidth="1"/>
    <col min="9221" max="9221" width="3.7109375" style="457" customWidth="1"/>
    <col min="9222" max="9222" width="16.42578125" style="457" customWidth="1"/>
    <col min="9223" max="9223" width="3.7109375" style="457" customWidth="1"/>
    <col min="9224" max="9224" width="16.42578125" style="457" customWidth="1"/>
    <col min="9225" max="9468" width="9.140625" style="457"/>
    <col min="9469" max="9469" width="10.42578125" style="457" customWidth="1"/>
    <col min="9470" max="9470" width="12.5703125" style="457" customWidth="1"/>
    <col min="9471" max="9471" width="29.42578125" style="457" customWidth="1"/>
    <col min="9472" max="9472" width="17.7109375" style="457" customWidth="1"/>
    <col min="9473" max="9473" width="3.7109375" style="457" customWidth="1"/>
    <col min="9474" max="9474" width="17.7109375" style="457" customWidth="1"/>
    <col min="9475" max="9475" width="3.7109375" style="457" customWidth="1"/>
    <col min="9476" max="9476" width="17.7109375" style="457" customWidth="1"/>
    <col min="9477" max="9477" width="3.7109375" style="457" customWidth="1"/>
    <col min="9478" max="9478" width="16.42578125" style="457" customWidth="1"/>
    <col min="9479" max="9479" width="3.7109375" style="457" customWidth="1"/>
    <col min="9480" max="9480" width="16.42578125" style="457" customWidth="1"/>
    <col min="9481" max="9724" width="9.140625" style="457"/>
    <col min="9725" max="9725" width="10.42578125" style="457" customWidth="1"/>
    <col min="9726" max="9726" width="12.5703125" style="457" customWidth="1"/>
    <col min="9727" max="9727" width="29.42578125" style="457" customWidth="1"/>
    <col min="9728" max="9728" width="17.7109375" style="457" customWidth="1"/>
    <col min="9729" max="9729" width="3.7109375" style="457" customWidth="1"/>
    <col min="9730" max="9730" width="17.7109375" style="457" customWidth="1"/>
    <col min="9731" max="9731" width="3.7109375" style="457" customWidth="1"/>
    <col min="9732" max="9732" width="17.7109375" style="457" customWidth="1"/>
    <col min="9733" max="9733" width="3.7109375" style="457" customWidth="1"/>
    <col min="9734" max="9734" width="16.42578125" style="457" customWidth="1"/>
    <col min="9735" max="9735" width="3.7109375" style="457" customWidth="1"/>
    <col min="9736" max="9736" width="16.42578125" style="457" customWidth="1"/>
    <col min="9737" max="9980" width="9.140625" style="457"/>
    <col min="9981" max="9981" width="10.42578125" style="457" customWidth="1"/>
    <col min="9982" max="9982" width="12.5703125" style="457" customWidth="1"/>
    <col min="9983" max="9983" width="29.42578125" style="457" customWidth="1"/>
    <col min="9984" max="9984" width="17.7109375" style="457" customWidth="1"/>
    <col min="9985" max="9985" width="3.7109375" style="457" customWidth="1"/>
    <col min="9986" max="9986" width="17.7109375" style="457" customWidth="1"/>
    <col min="9987" max="9987" width="3.7109375" style="457" customWidth="1"/>
    <col min="9988" max="9988" width="17.7109375" style="457" customWidth="1"/>
    <col min="9989" max="9989" width="3.7109375" style="457" customWidth="1"/>
    <col min="9990" max="9990" width="16.42578125" style="457" customWidth="1"/>
    <col min="9991" max="9991" width="3.7109375" style="457" customWidth="1"/>
    <col min="9992" max="9992" width="16.42578125" style="457" customWidth="1"/>
    <col min="9993" max="10236" width="9.140625" style="457"/>
    <col min="10237" max="10237" width="10.42578125" style="457" customWidth="1"/>
    <col min="10238" max="10238" width="12.5703125" style="457" customWidth="1"/>
    <col min="10239" max="10239" width="29.42578125" style="457" customWidth="1"/>
    <col min="10240" max="10240" width="17.7109375" style="457" customWidth="1"/>
    <col min="10241" max="10241" width="3.7109375" style="457" customWidth="1"/>
    <col min="10242" max="10242" width="17.7109375" style="457" customWidth="1"/>
    <col min="10243" max="10243" width="3.7109375" style="457" customWidth="1"/>
    <col min="10244" max="10244" width="17.7109375" style="457" customWidth="1"/>
    <col min="10245" max="10245" width="3.7109375" style="457" customWidth="1"/>
    <col min="10246" max="10246" width="16.42578125" style="457" customWidth="1"/>
    <col min="10247" max="10247" width="3.7109375" style="457" customWidth="1"/>
    <col min="10248" max="10248" width="16.42578125" style="457" customWidth="1"/>
    <col min="10249" max="10492" width="9.140625" style="457"/>
    <col min="10493" max="10493" width="10.42578125" style="457" customWidth="1"/>
    <col min="10494" max="10494" width="12.5703125" style="457" customWidth="1"/>
    <col min="10495" max="10495" width="29.42578125" style="457" customWidth="1"/>
    <col min="10496" max="10496" width="17.7109375" style="457" customWidth="1"/>
    <col min="10497" max="10497" width="3.7109375" style="457" customWidth="1"/>
    <col min="10498" max="10498" width="17.7109375" style="457" customWidth="1"/>
    <col min="10499" max="10499" width="3.7109375" style="457" customWidth="1"/>
    <col min="10500" max="10500" width="17.7109375" style="457" customWidth="1"/>
    <col min="10501" max="10501" width="3.7109375" style="457" customWidth="1"/>
    <col min="10502" max="10502" width="16.42578125" style="457" customWidth="1"/>
    <col min="10503" max="10503" width="3.7109375" style="457" customWidth="1"/>
    <col min="10504" max="10504" width="16.42578125" style="457" customWidth="1"/>
    <col min="10505" max="10748" width="9.140625" style="457"/>
    <col min="10749" max="10749" width="10.42578125" style="457" customWidth="1"/>
    <col min="10750" max="10750" width="12.5703125" style="457" customWidth="1"/>
    <col min="10751" max="10751" width="29.42578125" style="457" customWidth="1"/>
    <col min="10752" max="10752" width="17.7109375" style="457" customWidth="1"/>
    <col min="10753" max="10753" width="3.7109375" style="457" customWidth="1"/>
    <col min="10754" max="10754" width="17.7109375" style="457" customWidth="1"/>
    <col min="10755" max="10755" width="3.7109375" style="457" customWidth="1"/>
    <col min="10756" max="10756" width="17.7109375" style="457" customWidth="1"/>
    <col min="10757" max="10757" width="3.7109375" style="457" customWidth="1"/>
    <col min="10758" max="10758" width="16.42578125" style="457" customWidth="1"/>
    <col min="10759" max="10759" width="3.7109375" style="457" customWidth="1"/>
    <col min="10760" max="10760" width="16.42578125" style="457" customWidth="1"/>
    <col min="10761" max="11004" width="9.140625" style="457"/>
    <col min="11005" max="11005" width="10.42578125" style="457" customWidth="1"/>
    <col min="11006" max="11006" width="12.5703125" style="457" customWidth="1"/>
    <col min="11007" max="11007" width="29.42578125" style="457" customWidth="1"/>
    <col min="11008" max="11008" width="17.7109375" style="457" customWidth="1"/>
    <col min="11009" max="11009" width="3.7109375" style="457" customWidth="1"/>
    <col min="11010" max="11010" width="17.7109375" style="457" customWidth="1"/>
    <col min="11011" max="11011" width="3.7109375" style="457" customWidth="1"/>
    <col min="11012" max="11012" width="17.7109375" style="457" customWidth="1"/>
    <col min="11013" max="11013" width="3.7109375" style="457" customWidth="1"/>
    <col min="11014" max="11014" width="16.42578125" style="457" customWidth="1"/>
    <col min="11015" max="11015" width="3.7109375" style="457" customWidth="1"/>
    <col min="11016" max="11016" width="16.42578125" style="457" customWidth="1"/>
    <col min="11017" max="11260" width="9.140625" style="457"/>
    <col min="11261" max="11261" width="10.42578125" style="457" customWidth="1"/>
    <col min="11262" max="11262" width="12.5703125" style="457" customWidth="1"/>
    <col min="11263" max="11263" width="29.42578125" style="457" customWidth="1"/>
    <col min="11264" max="11264" width="17.7109375" style="457" customWidth="1"/>
    <col min="11265" max="11265" width="3.7109375" style="457" customWidth="1"/>
    <col min="11266" max="11266" width="17.7109375" style="457" customWidth="1"/>
    <col min="11267" max="11267" width="3.7109375" style="457" customWidth="1"/>
    <col min="11268" max="11268" width="17.7109375" style="457" customWidth="1"/>
    <col min="11269" max="11269" width="3.7109375" style="457" customWidth="1"/>
    <col min="11270" max="11270" width="16.42578125" style="457" customWidth="1"/>
    <col min="11271" max="11271" width="3.7109375" style="457" customWidth="1"/>
    <col min="11272" max="11272" width="16.42578125" style="457" customWidth="1"/>
    <col min="11273" max="11516" width="9.140625" style="457"/>
    <col min="11517" max="11517" width="10.42578125" style="457" customWidth="1"/>
    <col min="11518" max="11518" width="12.5703125" style="457" customWidth="1"/>
    <col min="11519" max="11519" width="29.42578125" style="457" customWidth="1"/>
    <col min="11520" max="11520" width="17.7109375" style="457" customWidth="1"/>
    <col min="11521" max="11521" width="3.7109375" style="457" customWidth="1"/>
    <col min="11522" max="11522" width="17.7109375" style="457" customWidth="1"/>
    <col min="11523" max="11523" width="3.7109375" style="457" customWidth="1"/>
    <col min="11524" max="11524" width="17.7109375" style="457" customWidth="1"/>
    <col min="11525" max="11525" width="3.7109375" style="457" customWidth="1"/>
    <col min="11526" max="11526" width="16.42578125" style="457" customWidth="1"/>
    <col min="11527" max="11527" width="3.7109375" style="457" customWidth="1"/>
    <col min="11528" max="11528" width="16.42578125" style="457" customWidth="1"/>
    <col min="11529" max="11772" width="9.140625" style="457"/>
    <col min="11773" max="11773" width="10.42578125" style="457" customWidth="1"/>
    <col min="11774" max="11774" width="12.5703125" style="457" customWidth="1"/>
    <col min="11775" max="11775" width="29.42578125" style="457" customWidth="1"/>
    <col min="11776" max="11776" width="17.7109375" style="457" customWidth="1"/>
    <col min="11777" max="11777" width="3.7109375" style="457" customWidth="1"/>
    <col min="11778" max="11778" width="17.7109375" style="457" customWidth="1"/>
    <col min="11779" max="11779" width="3.7109375" style="457" customWidth="1"/>
    <col min="11780" max="11780" width="17.7109375" style="457" customWidth="1"/>
    <col min="11781" max="11781" width="3.7109375" style="457" customWidth="1"/>
    <col min="11782" max="11782" width="16.42578125" style="457" customWidth="1"/>
    <col min="11783" max="11783" width="3.7109375" style="457" customWidth="1"/>
    <col min="11784" max="11784" width="16.42578125" style="457" customWidth="1"/>
    <col min="11785" max="12028" width="9.140625" style="457"/>
    <col min="12029" max="12029" width="10.42578125" style="457" customWidth="1"/>
    <col min="12030" max="12030" width="12.5703125" style="457" customWidth="1"/>
    <col min="12031" max="12031" width="29.42578125" style="457" customWidth="1"/>
    <col min="12032" max="12032" width="17.7109375" style="457" customWidth="1"/>
    <col min="12033" max="12033" width="3.7109375" style="457" customWidth="1"/>
    <col min="12034" max="12034" width="17.7109375" style="457" customWidth="1"/>
    <col min="12035" max="12035" width="3.7109375" style="457" customWidth="1"/>
    <col min="12036" max="12036" width="17.7109375" style="457" customWidth="1"/>
    <col min="12037" max="12037" width="3.7109375" style="457" customWidth="1"/>
    <col min="12038" max="12038" width="16.42578125" style="457" customWidth="1"/>
    <col min="12039" max="12039" width="3.7109375" style="457" customWidth="1"/>
    <col min="12040" max="12040" width="16.42578125" style="457" customWidth="1"/>
    <col min="12041" max="12284" width="9.140625" style="457"/>
    <col min="12285" max="12285" width="10.42578125" style="457" customWidth="1"/>
    <col min="12286" max="12286" width="12.5703125" style="457" customWidth="1"/>
    <col min="12287" max="12287" width="29.42578125" style="457" customWidth="1"/>
    <col min="12288" max="12288" width="17.7109375" style="457" customWidth="1"/>
    <col min="12289" max="12289" width="3.7109375" style="457" customWidth="1"/>
    <col min="12290" max="12290" width="17.7109375" style="457" customWidth="1"/>
    <col min="12291" max="12291" width="3.7109375" style="457" customWidth="1"/>
    <col min="12292" max="12292" width="17.7109375" style="457" customWidth="1"/>
    <col min="12293" max="12293" width="3.7109375" style="457" customWidth="1"/>
    <col min="12294" max="12294" width="16.42578125" style="457" customWidth="1"/>
    <col min="12295" max="12295" width="3.7109375" style="457" customWidth="1"/>
    <col min="12296" max="12296" width="16.42578125" style="457" customWidth="1"/>
    <col min="12297" max="12540" width="9.140625" style="457"/>
    <col min="12541" max="12541" width="10.42578125" style="457" customWidth="1"/>
    <col min="12542" max="12542" width="12.5703125" style="457" customWidth="1"/>
    <col min="12543" max="12543" width="29.42578125" style="457" customWidth="1"/>
    <col min="12544" max="12544" width="17.7109375" style="457" customWidth="1"/>
    <col min="12545" max="12545" width="3.7109375" style="457" customWidth="1"/>
    <col min="12546" max="12546" width="17.7109375" style="457" customWidth="1"/>
    <col min="12547" max="12547" width="3.7109375" style="457" customWidth="1"/>
    <col min="12548" max="12548" width="17.7109375" style="457" customWidth="1"/>
    <col min="12549" max="12549" width="3.7109375" style="457" customWidth="1"/>
    <col min="12550" max="12550" width="16.42578125" style="457" customWidth="1"/>
    <col min="12551" max="12551" width="3.7109375" style="457" customWidth="1"/>
    <col min="12552" max="12552" width="16.42578125" style="457" customWidth="1"/>
    <col min="12553" max="12796" width="9.140625" style="457"/>
    <col min="12797" max="12797" width="10.42578125" style="457" customWidth="1"/>
    <col min="12798" max="12798" width="12.5703125" style="457" customWidth="1"/>
    <col min="12799" max="12799" width="29.42578125" style="457" customWidth="1"/>
    <col min="12800" max="12800" width="17.7109375" style="457" customWidth="1"/>
    <col min="12801" max="12801" width="3.7109375" style="457" customWidth="1"/>
    <col min="12802" max="12802" width="17.7109375" style="457" customWidth="1"/>
    <col min="12803" max="12803" width="3.7109375" style="457" customWidth="1"/>
    <col min="12804" max="12804" width="17.7109375" style="457" customWidth="1"/>
    <col min="12805" max="12805" width="3.7109375" style="457" customWidth="1"/>
    <col min="12806" max="12806" width="16.42578125" style="457" customWidth="1"/>
    <col min="12807" max="12807" width="3.7109375" style="457" customWidth="1"/>
    <col min="12808" max="12808" width="16.42578125" style="457" customWidth="1"/>
    <col min="12809" max="13052" width="9.140625" style="457"/>
    <col min="13053" max="13053" width="10.42578125" style="457" customWidth="1"/>
    <col min="13054" max="13054" width="12.5703125" style="457" customWidth="1"/>
    <col min="13055" max="13055" width="29.42578125" style="457" customWidth="1"/>
    <col min="13056" max="13056" width="17.7109375" style="457" customWidth="1"/>
    <col min="13057" max="13057" width="3.7109375" style="457" customWidth="1"/>
    <col min="13058" max="13058" width="17.7109375" style="457" customWidth="1"/>
    <col min="13059" max="13059" width="3.7109375" style="457" customWidth="1"/>
    <col min="13060" max="13060" width="17.7109375" style="457" customWidth="1"/>
    <col min="13061" max="13061" width="3.7109375" style="457" customWidth="1"/>
    <col min="13062" max="13062" width="16.42578125" style="457" customWidth="1"/>
    <col min="13063" max="13063" width="3.7109375" style="457" customWidth="1"/>
    <col min="13064" max="13064" width="16.42578125" style="457" customWidth="1"/>
    <col min="13065" max="13308" width="9.140625" style="457"/>
    <col min="13309" max="13309" width="10.42578125" style="457" customWidth="1"/>
    <col min="13310" max="13310" width="12.5703125" style="457" customWidth="1"/>
    <col min="13311" max="13311" width="29.42578125" style="457" customWidth="1"/>
    <col min="13312" max="13312" width="17.7109375" style="457" customWidth="1"/>
    <col min="13313" max="13313" width="3.7109375" style="457" customWidth="1"/>
    <col min="13314" max="13314" width="17.7109375" style="457" customWidth="1"/>
    <col min="13315" max="13315" width="3.7109375" style="457" customWidth="1"/>
    <col min="13316" max="13316" width="17.7109375" style="457" customWidth="1"/>
    <col min="13317" max="13317" width="3.7109375" style="457" customWidth="1"/>
    <col min="13318" max="13318" width="16.42578125" style="457" customWidth="1"/>
    <col min="13319" max="13319" width="3.7109375" style="457" customWidth="1"/>
    <col min="13320" max="13320" width="16.42578125" style="457" customWidth="1"/>
    <col min="13321" max="13564" width="9.140625" style="457"/>
    <col min="13565" max="13565" width="10.42578125" style="457" customWidth="1"/>
    <col min="13566" max="13566" width="12.5703125" style="457" customWidth="1"/>
    <col min="13567" max="13567" width="29.42578125" style="457" customWidth="1"/>
    <col min="13568" max="13568" width="17.7109375" style="457" customWidth="1"/>
    <col min="13569" max="13569" width="3.7109375" style="457" customWidth="1"/>
    <col min="13570" max="13570" width="17.7109375" style="457" customWidth="1"/>
    <col min="13571" max="13571" width="3.7109375" style="457" customWidth="1"/>
    <col min="13572" max="13572" width="17.7109375" style="457" customWidth="1"/>
    <col min="13573" max="13573" width="3.7109375" style="457" customWidth="1"/>
    <col min="13574" max="13574" width="16.42578125" style="457" customWidth="1"/>
    <col min="13575" max="13575" width="3.7109375" style="457" customWidth="1"/>
    <col min="13576" max="13576" width="16.42578125" style="457" customWidth="1"/>
    <col min="13577" max="13820" width="9.140625" style="457"/>
    <col min="13821" max="13821" width="10.42578125" style="457" customWidth="1"/>
    <col min="13822" max="13822" width="12.5703125" style="457" customWidth="1"/>
    <col min="13823" max="13823" width="29.42578125" style="457" customWidth="1"/>
    <col min="13824" max="13824" width="17.7109375" style="457" customWidth="1"/>
    <col min="13825" max="13825" width="3.7109375" style="457" customWidth="1"/>
    <col min="13826" max="13826" width="17.7109375" style="457" customWidth="1"/>
    <col min="13827" max="13827" width="3.7109375" style="457" customWidth="1"/>
    <col min="13828" max="13828" width="17.7109375" style="457" customWidth="1"/>
    <col min="13829" max="13829" width="3.7109375" style="457" customWidth="1"/>
    <col min="13830" max="13830" width="16.42578125" style="457" customWidth="1"/>
    <col min="13831" max="13831" width="3.7109375" style="457" customWidth="1"/>
    <col min="13832" max="13832" width="16.42578125" style="457" customWidth="1"/>
    <col min="13833" max="14076" width="9.140625" style="457"/>
    <col min="14077" max="14077" width="10.42578125" style="457" customWidth="1"/>
    <col min="14078" max="14078" width="12.5703125" style="457" customWidth="1"/>
    <col min="14079" max="14079" width="29.42578125" style="457" customWidth="1"/>
    <col min="14080" max="14080" width="17.7109375" style="457" customWidth="1"/>
    <col min="14081" max="14081" width="3.7109375" style="457" customWidth="1"/>
    <col min="14082" max="14082" width="17.7109375" style="457" customWidth="1"/>
    <col min="14083" max="14083" width="3.7109375" style="457" customWidth="1"/>
    <col min="14084" max="14084" width="17.7109375" style="457" customWidth="1"/>
    <col min="14085" max="14085" width="3.7109375" style="457" customWidth="1"/>
    <col min="14086" max="14086" width="16.42578125" style="457" customWidth="1"/>
    <col min="14087" max="14087" width="3.7109375" style="457" customWidth="1"/>
    <col min="14088" max="14088" width="16.42578125" style="457" customWidth="1"/>
    <col min="14089" max="14332" width="9.140625" style="457"/>
    <col min="14333" max="14333" width="10.42578125" style="457" customWidth="1"/>
    <col min="14334" max="14334" width="12.5703125" style="457" customWidth="1"/>
    <col min="14335" max="14335" width="29.42578125" style="457" customWidth="1"/>
    <col min="14336" max="14336" width="17.7109375" style="457" customWidth="1"/>
    <col min="14337" max="14337" width="3.7109375" style="457" customWidth="1"/>
    <col min="14338" max="14338" width="17.7109375" style="457" customWidth="1"/>
    <col min="14339" max="14339" width="3.7109375" style="457" customWidth="1"/>
    <col min="14340" max="14340" width="17.7109375" style="457" customWidth="1"/>
    <col min="14341" max="14341" width="3.7109375" style="457" customWidth="1"/>
    <col min="14342" max="14342" width="16.42578125" style="457" customWidth="1"/>
    <col min="14343" max="14343" width="3.7109375" style="457" customWidth="1"/>
    <col min="14344" max="14344" width="16.42578125" style="457" customWidth="1"/>
    <col min="14345" max="14588" width="9.140625" style="457"/>
    <col min="14589" max="14589" width="10.42578125" style="457" customWidth="1"/>
    <col min="14590" max="14590" width="12.5703125" style="457" customWidth="1"/>
    <col min="14591" max="14591" width="29.42578125" style="457" customWidth="1"/>
    <col min="14592" max="14592" width="17.7109375" style="457" customWidth="1"/>
    <col min="14593" max="14593" width="3.7109375" style="457" customWidth="1"/>
    <col min="14594" max="14594" width="17.7109375" style="457" customWidth="1"/>
    <col min="14595" max="14595" width="3.7109375" style="457" customWidth="1"/>
    <col min="14596" max="14596" width="17.7109375" style="457" customWidth="1"/>
    <col min="14597" max="14597" width="3.7109375" style="457" customWidth="1"/>
    <col min="14598" max="14598" width="16.42578125" style="457" customWidth="1"/>
    <col min="14599" max="14599" width="3.7109375" style="457" customWidth="1"/>
    <col min="14600" max="14600" width="16.42578125" style="457" customWidth="1"/>
    <col min="14601" max="14844" width="9.140625" style="457"/>
    <col min="14845" max="14845" width="10.42578125" style="457" customWidth="1"/>
    <col min="14846" max="14846" width="12.5703125" style="457" customWidth="1"/>
    <col min="14847" max="14847" width="29.42578125" style="457" customWidth="1"/>
    <col min="14848" max="14848" width="17.7109375" style="457" customWidth="1"/>
    <col min="14849" max="14849" width="3.7109375" style="457" customWidth="1"/>
    <col min="14850" max="14850" width="17.7109375" style="457" customWidth="1"/>
    <col min="14851" max="14851" width="3.7109375" style="457" customWidth="1"/>
    <col min="14852" max="14852" width="17.7109375" style="457" customWidth="1"/>
    <col min="14853" max="14853" width="3.7109375" style="457" customWidth="1"/>
    <col min="14854" max="14854" width="16.42578125" style="457" customWidth="1"/>
    <col min="14855" max="14855" width="3.7109375" style="457" customWidth="1"/>
    <col min="14856" max="14856" width="16.42578125" style="457" customWidth="1"/>
    <col min="14857" max="15100" width="9.140625" style="457"/>
    <col min="15101" max="15101" width="10.42578125" style="457" customWidth="1"/>
    <col min="15102" max="15102" width="12.5703125" style="457" customWidth="1"/>
    <col min="15103" max="15103" width="29.42578125" style="457" customWidth="1"/>
    <col min="15104" max="15104" width="17.7109375" style="457" customWidth="1"/>
    <col min="15105" max="15105" width="3.7109375" style="457" customWidth="1"/>
    <col min="15106" max="15106" width="17.7109375" style="457" customWidth="1"/>
    <col min="15107" max="15107" width="3.7109375" style="457" customWidth="1"/>
    <col min="15108" max="15108" width="17.7109375" style="457" customWidth="1"/>
    <col min="15109" max="15109" width="3.7109375" style="457" customWidth="1"/>
    <col min="15110" max="15110" width="16.42578125" style="457" customWidth="1"/>
    <col min="15111" max="15111" width="3.7109375" style="457" customWidth="1"/>
    <col min="15112" max="15112" width="16.42578125" style="457" customWidth="1"/>
    <col min="15113" max="15356" width="9.140625" style="457"/>
    <col min="15357" max="15357" width="10.42578125" style="457" customWidth="1"/>
    <col min="15358" max="15358" width="12.5703125" style="457" customWidth="1"/>
    <col min="15359" max="15359" width="29.42578125" style="457" customWidth="1"/>
    <col min="15360" max="15360" width="17.7109375" style="457" customWidth="1"/>
    <col min="15361" max="15361" width="3.7109375" style="457" customWidth="1"/>
    <col min="15362" max="15362" width="17.7109375" style="457" customWidth="1"/>
    <col min="15363" max="15363" width="3.7109375" style="457" customWidth="1"/>
    <col min="15364" max="15364" width="17.7109375" style="457" customWidth="1"/>
    <col min="15365" max="15365" width="3.7109375" style="457" customWidth="1"/>
    <col min="15366" max="15366" width="16.42578125" style="457" customWidth="1"/>
    <col min="15367" max="15367" width="3.7109375" style="457" customWidth="1"/>
    <col min="15368" max="15368" width="16.42578125" style="457" customWidth="1"/>
    <col min="15369" max="15612" width="9.140625" style="457"/>
    <col min="15613" max="15613" width="10.42578125" style="457" customWidth="1"/>
    <col min="15614" max="15614" width="12.5703125" style="457" customWidth="1"/>
    <col min="15615" max="15615" width="29.42578125" style="457" customWidth="1"/>
    <col min="15616" max="15616" width="17.7109375" style="457" customWidth="1"/>
    <col min="15617" max="15617" width="3.7109375" style="457" customWidth="1"/>
    <col min="15618" max="15618" width="17.7109375" style="457" customWidth="1"/>
    <col min="15619" max="15619" width="3.7109375" style="457" customWidth="1"/>
    <col min="15620" max="15620" width="17.7109375" style="457" customWidth="1"/>
    <col min="15621" max="15621" width="3.7109375" style="457" customWidth="1"/>
    <col min="15622" max="15622" width="16.42578125" style="457" customWidth="1"/>
    <col min="15623" max="15623" width="3.7109375" style="457" customWidth="1"/>
    <col min="15624" max="15624" width="16.42578125" style="457" customWidth="1"/>
    <col min="15625" max="15868" width="9.140625" style="457"/>
    <col min="15869" max="15869" width="10.42578125" style="457" customWidth="1"/>
    <col min="15870" max="15870" width="12.5703125" style="457" customWidth="1"/>
    <col min="15871" max="15871" width="29.42578125" style="457" customWidth="1"/>
    <col min="15872" max="15872" width="17.7109375" style="457" customWidth="1"/>
    <col min="15873" max="15873" width="3.7109375" style="457" customWidth="1"/>
    <col min="15874" max="15874" width="17.7109375" style="457" customWidth="1"/>
    <col min="15875" max="15875" width="3.7109375" style="457" customWidth="1"/>
    <col min="15876" max="15876" width="17.7109375" style="457" customWidth="1"/>
    <col min="15877" max="15877" width="3.7109375" style="457" customWidth="1"/>
    <col min="15878" max="15878" width="16.42578125" style="457" customWidth="1"/>
    <col min="15879" max="15879" width="3.7109375" style="457" customWidth="1"/>
    <col min="15880" max="15880" width="16.42578125" style="457" customWidth="1"/>
    <col min="15881" max="16124" width="9.140625" style="457"/>
    <col min="16125" max="16125" width="10.42578125" style="457" customWidth="1"/>
    <col min="16126" max="16126" width="12.5703125" style="457" customWidth="1"/>
    <col min="16127" max="16127" width="29.42578125" style="457" customWidth="1"/>
    <col min="16128" max="16128" width="17.7109375" style="457" customWidth="1"/>
    <col min="16129" max="16129" width="3.7109375" style="457" customWidth="1"/>
    <col min="16130" max="16130" width="17.7109375" style="457" customWidth="1"/>
    <col min="16131" max="16131" width="3.7109375" style="457" customWidth="1"/>
    <col min="16132" max="16132" width="17.7109375" style="457" customWidth="1"/>
    <col min="16133" max="16133" width="3.7109375" style="457" customWidth="1"/>
    <col min="16134" max="16134" width="16.42578125" style="457" customWidth="1"/>
    <col min="16135" max="16135" width="3.7109375" style="457" customWidth="1"/>
    <col min="16136" max="16136" width="16.42578125" style="457" customWidth="1"/>
    <col min="16137" max="16384" width="9.140625" style="457"/>
  </cols>
  <sheetData>
    <row r="1" spans="1:16" ht="24" customHeight="1" x14ac:dyDescent="0.25">
      <c r="A1" s="732" t="s">
        <v>420</v>
      </c>
      <c r="B1" s="733"/>
      <c r="C1" s="733"/>
      <c r="D1" s="733"/>
      <c r="E1" s="733"/>
      <c r="F1" s="733"/>
      <c r="G1" s="733"/>
      <c r="H1" s="733"/>
      <c r="I1" s="733"/>
      <c r="J1" s="733"/>
      <c r="K1" s="733"/>
      <c r="L1" s="733"/>
    </row>
    <row r="2" spans="1:16" ht="9.9499999999999993" customHeight="1" thickBot="1" x14ac:dyDescent="0.3">
      <c r="A2" s="458"/>
      <c r="B2" s="459"/>
      <c r="C2" s="459"/>
      <c r="D2" s="459"/>
      <c r="E2" s="459"/>
      <c r="F2" s="459"/>
      <c r="G2" s="459"/>
      <c r="H2" s="459"/>
      <c r="I2" s="459"/>
      <c r="J2" s="459"/>
      <c r="K2" s="459"/>
      <c r="L2" s="459"/>
    </row>
    <row r="3" spans="1:16" ht="24" customHeight="1" thickBot="1" x14ac:dyDescent="0.3">
      <c r="A3" s="734" t="s">
        <v>421</v>
      </c>
      <c r="B3" s="735"/>
      <c r="C3" s="736" t="str">
        <f>'INPUT SHEET FOR LAR'!D6</f>
        <v>University Name</v>
      </c>
      <c r="D3" s="737"/>
      <c r="E3" s="737"/>
      <c r="F3" s="737"/>
      <c r="G3" s="737"/>
      <c r="H3" s="737"/>
      <c r="I3" s="738"/>
      <c r="M3" s="460"/>
      <c r="N3" s="460"/>
      <c r="O3" s="460"/>
      <c r="P3" s="460"/>
    </row>
    <row r="4" spans="1:16" x14ac:dyDescent="0.25">
      <c r="M4" s="460"/>
      <c r="N4" s="460"/>
      <c r="O4" s="460"/>
      <c r="P4" s="460"/>
    </row>
    <row r="5" spans="1:16" ht="18.75" thickBot="1" x14ac:dyDescent="0.3">
      <c r="M5" s="1"/>
      <c r="N5" s="1"/>
      <c r="O5" s="1"/>
      <c r="P5" s="1"/>
    </row>
    <row r="6" spans="1:16" ht="18" customHeight="1" x14ac:dyDescent="0.25">
      <c r="A6" s="462" t="s">
        <v>422</v>
      </c>
      <c r="B6" s="463">
        <v>0.74919999999999998</v>
      </c>
      <c r="D6" s="739" t="s">
        <v>515</v>
      </c>
      <c r="E6" s="740"/>
      <c r="F6" s="740"/>
      <c r="G6" s="740"/>
      <c r="H6" s="740"/>
      <c r="I6" s="741"/>
      <c r="M6" s="1"/>
      <c r="N6" s="1"/>
      <c r="O6" s="1"/>
      <c r="P6" s="1"/>
    </row>
    <row r="7" spans="1:16" ht="18.75" thickBot="1" x14ac:dyDescent="0.3">
      <c r="A7" s="464" t="s">
        <v>223</v>
      </c>
      <c r="B7" s="465">
        <v>0.25080000000000002</v>
      </c>
      <c r="D7" s="742"/>
      <c r="E7" s="743"/>
      <c r="F7" s="743"/>
      <c r="G7" s="743"/>
      <c r="H7" s="743"/>
      <c r="I7" s="744"/>
      <c r="M7" s="1"/>
      <c r="N7" s="1"/>
      <c r="O7" s="1"/>
      <c r="P7" s="1"/>
    </row>
    <row r="8" spans="1:16" ht="19.5" thickTop="1" thickBot="1" x14ac:dyDescent="0.3">
      <c r="A8" s="466" t="s">
        <v>65</v>
      </c>
      <c r="B8" s="467">
        <f>+B6+B7</f>
        <v>1</v>
      </c>
      <c r="D8" s="745"/>
      <c r="E8" s="746"/>
      <c r="F8" s="746"/>
      <c r="G8" s="746"/>
      <c r="H8" s="746"/>
      <c r="I8" s="747"/>
      <c r="M8" s="1"/>
      <c r="N8" s="1"/>
      <c r="O8" s="1"/>
      <c r="P8" s="1"/>
    </row>
    <row r="9" spans="1:16" x14ac:dyDescent="0.25">
      <c r="A9" s="466"/>
      <c r="B9" s="468"/>
      <c r="M9" s="1"/>
      <c r="N9" s="1"/>
      <c r="O9" s="1"/>
      <c r="P9" s="1"/>
    </row>
    <row r="10" spans="1:16" ht="12" customHeight="1" x14ac:dyDescent="0.25">
      <c r="A10" s="466"/>
      <c r="B10" s="468"/>
    </row>
    <row r="11" spans="1:16" ht="18.75" x14ac:dyDescent="0.3">
      <c r="B11" s="469"/>
      <c r="C11" s="470" t="s">
        <v>516</v>
      </c>
      <c r="D11" s="471"/>
      <c r="E11" s="472"/>
      <c r="F11" s="472"/>
      <c r="G11" s="472"/>
      <c r="H11" s="472"/>
      <c r="I11" s="472"/>
      <c r="J11" s="472"/>
      <c r="K11" s="472"/>
      <c r="L11" s="472"/>
    </row>
    <row r="12" spans="1:16" ht="18" customHeight="1" x14ac:dyDescent="0.25">
      <c r="A12" s="729" t="s">
        <v>423</v>
      </c>
      <c r="B12" s="469"/>
      <c r="D12" s="730" t="s">
        <v>424</v>
      </c>
      <c r="E12" s="461"/>
      <c r="F12" s="730" t="s">
        <v>425</v>
      </c>
      <c r="G12" s="461"/>
      <c r="H12" s="730" t="s">
        <v>426</v>
      </c>
      <c r="I12" s="461"/>
      <c r="J12" s="730" t="s">
        <v>427</v>
      </c>
      <c r="K12" s="461"/>
      <c r="L12" s="730" t="s">
        <v>428</v>
      </c>
    </row>
    <row r="13" spans="1:16" x14ac:dyDescent="0.25">
      <c r="A13" s="729"/>
      <c r="B13" s="469"/>
      <c r="D13" s="730"/>
      <c r="E13" s="461"/>
      <c r="F13" s="730"/>
      <c r="G13" s="461"/>
      <c r="H13" s="730"/>
      <c r="I13" s="461"/>
      <c r="J13" s="730"/>
      <c r="K13" s="461"/>
      <c r="L13" s="731"/>
      <c r="M13" s="460"/>
      <c r="N13" s="460"/>
      <c r="O13" s="460"/>
      <c r="P13" s="460"/>
    </row>
    <row r="14" spans="1:16" x14ac:dyDescent="0.25">
      <c r="A14" s="729"/>
      <c r="B14" s="473" t="s">
        <v>429</v>
      </c>
      <c r="C14" s="474" t="s">
        <v>430</v>
      </c>
      <c r="D14" s="475">
        <f>1810-138.33</f>
        <v>1671.67</v>
      </c>
      <c r="E14" s="476"/>
      <c r="F14" s="477">
        <f>+D14*$B$6</f>
        <v>1252.415164</v>
      </c>
      <c r="G14" s="476"/>
      <c r="H14" s="477">
        <f>+D14*$B$7</f>
        <v>419.25483600000007</v>
      </c>
      <c r="I14" s="476"/>
      <c r="J14" s="477">
        <f>+F14+H14</f>
        <v>1671.67</v>
      </c>
      <c r="K14" s="476"/>
      <c r="L14" s="478">
        <f>2020+138.33</f>
        <v>2158.33</v>
      </c>
      <c r="M14" s="1"/>
      <c r="N14" s="1"/>
      <c r="O14" s="1"/>
      <c r="P14" s="1"/>
    </row>
    <row r="15" spans="1:16" x14ac:dyDescent="0.25">
      <c r="A15" s="729"/>
      <c r="B15" s="473" t="s">
        <v>431</v>
      </c>
      <c r="C15" s="474" t="s">
        <v>432</v>
      </c>
      <c r="D15" s="475">
        <f>626-52.49</f>
        <v>573.51</v>
      </c>
      <c r="E15" s="476"/>
      <c r="F15" s="477">
        <f t="shared" ref="F15:F19" si="0">+D15*$B$6</f>
        <v>429.67369199999996</v>
      </c>
      <c r="G15" s="476"/>
      <c r="H15" s="477">
        <f t="shared" ref="H15:H19" si="1">+D15*$B$7</f>
        <v>143.836308</v>
      </c>
      <c r="I15" s="476"/>
      <c r="J15" s="477">
        <f t="shared" ref="J15:J19" si="2">+F15+H15</f>
        <v>573.51</v>
      </c>
      <c r="K15" s="476"/>
      <c r="L15" s="478">
        <f>488+52.49</f>
        <v>540.49</v>
      </c>
      <c r="M15" s="1"/>
      <c r="N15" s="1"/>
      <c r="O15" s="1"/>
      <c r="P15" s="1"/>
    </row>
    <row r="16" spans="1:16" x14ac:dyDescent="0.25">
      <c r="A16" s="729"/>
      <c r="B16" s="473" t="s">
        <v>433</v>
      </c>
      <c r="C16" s="474" t="s">
        <v>434</v>
      </c>
      <c r="D16" s="475">
        <f>517-46.91</f>
        <v>470.09000000000003</v>
      </c>
      <c r="E16" s="476"/>
      <c r="F16" s="477">
        <f t="shared" si="0"/>
        <v>352.19142800000003</v>
      </c>
      <c r="G16" s="476"/>
      <c r="H16" s="477">
        <f t="shared" si="1"/>
        <v>117.89857200000002</v>
      </c>
      <c r="I16" s="476"/>
      <c r="J16" s="477">
        <f t="shared" si="2"/>
        <v>470.09000000000003</v>
      </c>
      <c r="K16" s="476"/>
      <c r="L16" s="478">
        <f>440+46.91</f>
        <v>486.90999999999997</v>
      </c>
      <c r="M16" s="1"/>
      <c r="N16" s="1"/>
      <c r="O16" s="1"/>
      <c r="P16" s="1"/>
    </row>
    <row r="17" spans="1:16" x14ac:dyDescent="0.25">
      <c r="A17" s="729"/>
      <c r="B17" s="473" t="s">
        <v>435</v>
      </c>
      <c r="C17" s="474" t="s">
        <v>436</v>
      </c>
      <c r="D17" s="475">
        <f>803-75.83</f>
        <v>727.17</v>
      </c>
      <c r="E17" s="476"/>
      <c r="F17" s="477">
        <f t="shared" si="0"/>
        <v>544.79576399999996</v>
      </c>
      <c r="G17" s="476"/>
      <c r="H17" s="477">
        <f t="shared" si="1"/>
        <v>182.374236</v>
      </c>
      <c r="I17" s="476"/>
      <c r="J17" s="477">
        <f t="shared" si="2"/>
        <v>727.17</v>
      </c>
      <c r="K17" s="476"/>
      <c r="L17" s="478">
        <f>711+75.83</f>
        <v>786.83</v>
      </c>
      <c r="M17" s="1"/>
      <c r="N17" s="1"/>
      <c r="O17" s="1"/>
      <c r="P17" s="1"/>
    </row>
    <row r="18" spans="1:16" x14ac:dyDescent="0.25">
      <c r="A18" s="729"/>
      <c r="B18" s="473" t="s">
        <v>437</v>
      </c>
      <c r="C18" s="474" t="s">
        <v>438</v>
      </c>
      <c r="D18" s="475">
        <v>168</v>
      </c>
      <c r="E18" s="476"/>
      <c r="F18" s="477">
        <f t="shared" si="0"/>
        <v>125.8656</v>
      </c>
      <c r="G18" s="476"/>
      <c r="H18" s="477">
        <f t="shared" si="1"/>
        <v>42.134400000000007</v>
      </c>
      <c r="I18" s="476"/>
      <c r="J18" s="477">
        <f t="shared" si="2"/>
        <v>168</v>
      </c>
      <c r="K18" s="476"/>
      <c r="L18" s="478">
        <v>270</v>
      </c>
      <c r="M18" s="1"/>
      <c r="N18" s="1"/>
      <c r="O18" s="1"/>
      <c r="P18" s="1"/>
    </row>
    <row r="19" spans="1:16" x14ac:dyDescent="0.25">
      <c r="A19" s="729"/>
      <c r="B19" s="473" t="s">
        <v>439</v>
      </c>
      <c r="C19" s="474" t="s">
        <v>440</v>
      </c>
      <c r="D19" s="475">
        <f>44-17.76</f>
        <v>26.24</v>
      </c>
      <c r="E19" s="476"/>
      <c r="F19" s="477">
        <f t="shared" si="0"/>
        <v>19.659007999999996</v>
      </c>
      <c r="G19" s="476"/>
      <c r="H19" s="477">
        <f t="shared" si="1"/>
        <v>6.5809920000000002</v>
      </c>
      <c r="I19" s="476"/>
      <c r="J19" s="477">
        <f t="shared" si="2"/>
        <v>26.239999999999995</v>
      </c>
      <c r="K19" s="476"/>
      <c r="L19" s="478">
        <f>67+17.76</f>
        <v>84.76</v>
      </c>
    </row>
    <row r="20" spans="1:16" x14ac:dyDescent="0.25">
      <c r="A20" s="729"/>
      <c r="B20" s="473"/>
      <c r="D20" s="479">
        <f>SUM(D14:D19)</f>
        <v>3636.6800000000003</v>
      </c>
      <c r="E20" s="479"/>
      <c r="F20" s="479">
        <f>SUM(F14:F19)</f>
        <v>2724.6006560000001</v>
      </c>
      <c r="G20" s="479"/>
      <c r="H20" s="479">
        <f>SUM(H14:H19)</f>
        <v>912.07934400000022</v>
      </c>
      <c r="I20" s="479"/>
      <c r="J20" s="479">
        <f>SUM(J14:J19)</f>
        <v>3636.6800000000003</v>
      </c>
      <c r="K20" s="476"/>
      <c r="L20" s="479">
        <f>SUM(L14:L19)</f>
        <v>4327.32</v>
      </c>
    </row>
    <row r="21" spans="1:16" x14ac:dyDescent="0.25">
      <c r="A21" s="457"/>
      <c r="B21" s="469"/>
    </row>
    <row r="22" spans="1:16" ht="11.25" customHeight="1" x14ac:dyDescent="0.25">
      <c r="A22" s="457"/>
      <c r="B22" s="469"/>
    </row>
    <row r="23" spans="1:16" x14ac:dyDescent="0.25">
      <c r="A23" s="457"/>
      <c r="B23" s="469"/>
    </row>
    <row r="24" spans="1:16" ht="18" customHeight="1" x14ac:dyDescent="0.25">
      <c r="A24" s="729" t="s">
        <v>441</v>
      </c>
      <c r="B24" s="469"/>
      <c r="D24" s="730" t="s">
        <v>442</v>
      </c>
      <c r="E24" s="461"/>
      <c r="F24" s="730" t="s">
        <v>425</v>
      </c>
      <c r="G24" s="461"/>
      <c r="H24" s="730" t="s">
        <v>426</v>
      </c>
      <c r="I24" s="461"/>
      <c r="J24" s="730" t="s">
        <v>443</v>
      </c>
      <c r="K24" s="461"/>
      <c r="L24" s="730" t="s">
        <v>444</v>
      </c>
    </row>
    <row r="25" spans="1:16" x14ac:dyDescent="0.25">
      <c r="A25" s="729"/>
      <c r="B25" s="469"/>
      <c r="D25" s="730"/>
      <c r="E25" s="461"/>
      <c r="F25" s="730"/>
      <c r="G25" s="461"/>
      <c r="H25" s="730"/>
      <c r="I25" s="461"/>
      <c r="J25" s="730"/>
      <c r="K25" s="461"/>
      <c r="L25" s="730"/>
    </row>
    <row r="26" spans="1:16" x14ac:dyDescent="0.25">
      <c r="A26" s="729"/>
      <c r="B26" s="473" t="s">
        <v>445</v>
      </c>
      <c r="C26" s="474" t="s">
        <v>430</v>
      </c>
      <c r="D26" s="475">
        <f>27+682-9.94-27.04</f>
        <v>672.02</v>
      </c>
      <c r="E26" s="476"/>
      <c r="F26" s="477">
        <f>+D26*$B$6</f>
        <v>503.47738399999997</v>
      </c>
      <c r="G26" s="476"/>
      <c r="H26" s="477">
        <f>+D26*$B$7</f>
        <v>168.54261600000001</v>
      </c>
      <c r="I26" s="476"/>
      <c r="J26" s="477">
        <f>+F26+H26</f>
        <v>672.02</v>
      </c>
      <c r="K26" s="476"/>
      <c r="L26" s="475">
        <f>39+1428+9.94+27.04</f>
        <v>1503.98</v>
      </c>
    </row>
    <row r="27" spans="1:16" x14ac:dyDescent="0.25">
      <c r="A27" s="729"/>
      <c r="B27" s="473" t="s">
        <v>446</v>
      </c>
      <c r="C27" s="474" t="s">
        <v>432</v>
      </c>
      <c r="D27" s="475">
        <f>7+16-0.79-0.59</f>
        <v>21.62</v>
      </c>
      <c r="E27" s="476"/>
      <c r="F27" s="477">
        <f t="shared" ref="F27:F31" si="3">+D27*$B$6</f>
        <v>16.197704000000002</v>
      </c>
      <c r="G27" s="476"/>
      <c r="H27" s="477">
        <f t="shared" ref="H27:H31" si="4">+D27*$B$7</f>
        <v>5.4222960000000011</v>
      </c>
      <c r="I27" s="476"/>
      <c r="J27" s="477">
        <f t="shared" ref="J27:J31" si="5">+F27+H27</f>
        <v>21.620000000000005</v>
      </c>
      <c r="K27" s="476"/>
      <c r="L27" s="475">
        <f>7+31+0.79+0.59</f>
        <v>39.380000000000003</v>
      </c>
    </row>
    <row r="28" spans="1:16" x14ac:dyDescent="0.25">
      <c r="A28" s="729"/>
      <c r="B28" s="473" t="s">
        <v>447</v>
      </c>
      <c r="C28" s="474" t="s">
        <v>434</v>
      </c>
      <c r="D28" s="475">
        <f>11+71-2.24-3.31</f>
        <v>76.45</v>
      </c>
      <c r="E28" s="476"/>
      <c r="F28" s="477">
        <f t="shared" si="3"/>
        <v>57.276339999999998</v>
      </c>
      <c r="G28" s="476"/>
      <c r="H28" s="477">
        <f t="shared" si="4"/>
        <v>19.173660000000002</v>
      </c>
      <c r="I28" s="476"/>
      <c r="J28" s="477">
        <f t="shared" si="5"/>
        <v>76.45</v>
      </c>
      <c r="K28" s="476"/>
      <c r="L28" s="475">
        <f>10+111+2.24+3.31</f>
        <v>126.55</v>
      </c>
    </row>
    <row r="29" spans="1:16" x14ac:dyDescent="0.25">
      <c r="A29" s="729"/>
      <c r="B29" s="473" t="s">
        <v>448</v>
      </c>
      <c r="C29" s="474" t="s">
        <v>436</v>
      </c>
      <c r="D29" s="475">
        <f>8+30-1.1-1.66</f>
        <v>35.24</v>
      </c>
      <c r="E29" s="476"/>
      <c r="F29" s="477">
        <f t="shared" si="3"/>
        <v>26.401807999999999</v>
      </c>
      <c r="G29" s="476"/>
      <c r="H29" s="477">
        <f t="shared" si="4"/>
        <v>8.8381920000000012</v>
      </c>
      <c r="I29" s="476"/>
      <c r="J29" s="477">
        <f t="shared" si="5"/>
        <v>35.24</v>
      </c>
      <c r="K29" s="476"/>
      <c r="L29" s="475">
        <f>15+50+1.1+1.66</f>
        <v>67.759999999999991</v>
      </c>
    </row>
    <row r="30" spans="1:16" x14ac:dyDescent="0.25">
      <c r="A30" s="729"/>
      <c r="B30" s="473" t="s">
        <v>449</v>
      </c>
      <c r="C30" s="474" t="s">
        <v>438</v>
      </c>
      <c r="D30" s="475">
        <f>33+30</f>
        <v>63</v>
      </c>
      <c r="E30" s="476"/>
      <c r="F30" s="477">
        <f t="shared" si="3"/>
        <v>47.199599999999997</v>
      </c>
      <c r="G30" s="476"/>
      <c r="H30" s="477">
        <f t="shared" si="4"/>
        <v>15.800400000000002</v>
      </c>
      <c r="I30" s="476"/>
      <c r="J30" s="477">
        <f t="shared" si="5"/>
        <v>63</v>
      </c>
      <c r="K30" s="476"/>
      <c r="L30" s="475">
        <f>51+63</f>
        <v>114</v>
      </c>
    </row>
    <row r="31" spans="1:16" x14ac:dyDescent="0.25">
      <c r="A31" s="729"/>
      <c r="B31" s="473" t="s">
        <v>450</v>
      </c>
      <c r="C31" s="474" t="s">
        <v>440</v>
      </c>
      <c r="D31" s="475">
        <f>18+139-5.6-10.12</f>
        <v>141.28</v>
      </c>
      <c r="E31" s="476"/>
      <c r="F31" s="477">
        <f t="shared" si="3"/>
        <v>105.846976</v>
      </c>
      <c r="G31" s="476"/>
      <c r="H31" s="477">
        <f t="shared" si="4"/>
        <v>35.433024000000003</v>
      </c>
      <c r="I31" s="476"/>
      <c r="J31" s="477">
        <f t="shared" si="5"/>
        <v>141.28</v>
      </c>
      <c r="K31" s="476"/>
      <c r="L31" s="475">
        <f>34+320+5.6+10.12</f>
        <v>369.72</v>
      </c>
    </row>
    <row r="32" spans="1:16" x14ac:dyDescent="0.25">
      <c r="A32" s="729"/>
      <c r="B32" s="473"/>
      <c r="D32" s="479">
        <f>SUM(D26:D31)</f>
        <v>1009.61</v>
      </c>
      <c r="E32" s="479"/>
      <c r="F32" s="479">
        <f>SUM(F26:F31)</f>
        <v>756.399812</v>
      </c>
      <c r="G32" s="479"/>
      <c r="H32" s="479">
        <f>SUM(H26:H31)</f>
        <v>253.21018800000002</v>
      </c>
      <c r="I32" s="479"/>
      <c r="J32" s="479">
        <f>SUM(J26:J31)</f>
        <v>1009.61</v>
      </c>
      <c r="K32" s="476"/>
      <c r="L32" s="479">
        <f>SUM(L26:L31)</f>
        <v>2221.3900000000003</v>
      </c>
    </row>
    <row r="33" spans="1:12" x14ac:dyDescent="0.25">
      <c r="A33" s="457"/>
      <c r="B33" s="469"/>
      <c r="D33" s="476"/>
      <c r="E33" s="476"/>
      <c r="F33" s="476"/>
      <c r="G33" s="476"/>
      <c r="H33" s="476"/>
      <c r="I33" s="476"/>
      <c r="J33" s="476"/>
      <c r="K33" s="476"/>
      <c r="L33" s="476"/>
    </row>
    <row r="34" spans="1:12" x14ac:dyDescent="0.25">
      <c r="A34" s="457"/>
      <c r="B34" s="469"/>
      <c r="C34" s="480" t="s">
        <v>451</v>
      </c>
      <c r="D34" s="479">
        <f>ROUND(D20+D32,0)</f>
        <v>4646</v>
      </c>
      <c r="E34" s="479"/>
      <c r="F34" s="479">
        <f>ROUND(F20+F32,0)</f>
        <v>3481</v>
      </c>
      <c r="G34" s="479"/>
      <c r="H34" s="479">
        <f>ROUND(H20+H32,0)</f>
        <v>1165</v>
      </c>
      <c r="I34" s="479"/>
      <c r="J34" s="479">
        <f>ROUND(J20+J32,0)</f>
        <v>4646</v>
      </c>
      <c r="K34" s="476"/>
      <c r="L34" s="479">
        <f>ROUND(L20+L32,0)</f>
        <v>6549</v>
      </c>
    </row>
    <row r="35" spans="1:12" x14ac:dyDescent="0.25">
      <c r="A35" s="457"/>
      <c r="B35" s="469"/>
      <c r="L35" s="481"/>
    </row>
    <row r="36" spans="1:12" x14ac:dyDescent="0.25">
      <c r="A36" s="457"/>
      <c r="B36" s="469"/>
      <c r="D36" s="471"/>
      <c r="E36" s="472"/>
      <c r="F36" s="472"/>
      <c r="G36" s="472"/>
      <c r="H36" s="472"/>
      <c r="I36" s="472"/>
      <c r="J36" s="472"/>
      <c r="K36" s="472"/>
      <c r="L36" s="472"/>
    </row>
    <row r="37" spans="1:12" ht="17.45" customHeight="1" x14ac:dyDescent="0.25">
      <c r="A37" s="729" t="s">
        <v>452</v>
      </c>
      <c r="B37" s="469"/>
      <c r="D37" s="730" t="s">
        <v>424</v>
      </c>
      <c r="E37" s="461"/>
      <c r="F37" s="730" t="s">
        <v>425</v>
      </c>
      <c r="G37" s="461"/>
      <c r="H37" s="730" t="s">
        <v>426</v>
      </c>
      <c r="I37" s="461"/>
      <c r="J37" s="730" t="s">
        <v>427</v>
      </c>
      <c r="K37" s="461"/>
      <c r="L37" s="730" t="s">
        <v>428</v>
      </c>
    </row>
    <row r="38" spans="1:12" x14ac:dyDescent="0.25">
      <c r="A38" s="729"/>
      <c r="B38" s="469"/>
      <c r="D38" s="730"/>
      <c r="E38" s="461"/>
      <c r="F38" s="730"/>
      <c r="G38" s="461"/>
      <c r="H38" s="730"/>
      <c r="I38" s="461"/>
      <c r="J38" s="730"/>
      <c r="K38" s="461"/>
      <c r="L38" s="731"/>
    </row>
    <row r="39" spans="1:12" x14ac:dyDescent="0.25">
      <c r="A39" s="729"/>
      <c r="B39" s="473" t="s">
        <v>453</v>
      </c>
      <c r="C39" s="474" t="s">
        <v>430</v>
      </c>
      <c r="D39" s="475">
        <v>1643</v>
      </c>
      <c r="E39" s="476"/>
      <c r="F39" s="477">
        <f>+D39*$B$6</f>
        <v>1230.9356</v>
      </c>
      <c r="G39" s="476"/>
      <c r="H39" s="477">
        <f>+D39*$B$7</f>
        <v>412.06440000000003</v>
      </c>
      <c r="I39" s="476"/>
      <c r="J39" s="477">
        <f>+F39+H39</f>
        <v>1643</v>
      </c>
      <c r="K39" s="476"/>
      <c r="L39" s="475">
        <v>407</v>
      </c>
    </row>
    <row r="40" spans="1:12" x14ac:dyDescent="0.25">
      <c r="A40" s="729"/>
      <c r="B40" s="473" t="s">
        <v>454</v>
      </c>
      <c r="C40" s="474" t="s">
        <v>432</v>
      </c>
      <c r="D40" s="475">
        <v>46</v>
      </c>
      <c r="E40" s="476"/>
      <c r="F40" s="477">
        <f t="shared" ref="F40:F44" si="6">+D40*$B$6</f>
        <v>34.463200000000001</v>
      </c>
      <c r="G40" s="476"/>
      <c r="H40" s="477">
        <f t="shared" ref="H40:H44" si="7">+D40*$B$7</f>
        <v>11.536800000000001</v>
      </c>
      <c r="I40" s="476"/>
      <c r="J40" s="477">
        <f t="shared" ref="J40:J44" si="8">+F40+H40</f>
        <v>46</v>
      </c>
      <c r="K40" s="476"/>
      <c r="L40" s="475">
        <v>11</v>
      </c>
    </row>
    <row r="41" spans="1:12" x14ac:dyDescent="0.25">
      <c r="A41" s="729"/>
      <c r="B41" s="473" t="s">
        <v>455</v>
      </c>
      <c r="C41" s="474" t="s">
        <v>434</v>
      </c>
      <c r="D41" s="475">
        <v>769</v>
      </c>
      <c r="E41" s="476"/>
      <c r="F41" s="477">
        <f t="shared" si="6"/>
        <v>576.13479999999993</v>
      </c>
      <c r="G41" s="476"/>
      <c r="H41" s="477">
        <f t="shared" si="7"/>
        <v>192.86520000000002</v>
      </c>
      <c r="I41" s="476"/>
      <c r="J41" s="477">
        <f t="shared" si="8"/>
        <v>769</v>
      </c>
      <c r="K41" s="476"/>
      <c r="L41" s="475">
        <v>190</v>
      </c>
    </row>
    <row r="42" spans="1:12" x14ac:dyDescent="0.25">
      <c r="A42" s="729"/>
      <c r="B42" s="473" t="s">
        <v>456</v>
      </c>
      <c r="C42" s="474" t="s">
        <v>436</v>
      </c>
      <c r="D42" s="475">
        <v>71</v>
      </c>
      <c r="E42" s="476"/>
      <c r="F42" s="477">
        <f t="shared" si="6"/>
        <v>53.193199999999997</v>
      </c>
      <c r="G42" s="476"/>
      <c r="H42" s="477">
        <f t="shared" si="7"/>
        <v>17.806800000000003</v>
      </c>
      <c r="I42" s="476"/>
      <c r="J42" s="477">
        <f t="shared" si="8"/>
        <v>71</v>
      </c>
      <c r="K42" s="476"/>
      <c r="L42" s="475">
        <v>18</v>
      </c>
    </row>
    <row r="43" spans="1:12" x14ac:dyDescent="0.25">
      <c r="A43" s="729"/>
      <c r="B43" s="473" t="s">
        <v>457</v>
      </c>
      <c r="C43" s="474" t="s">
        <v>438</v>
      </c>
      <c r="D43" s="475">
        <v>15</v>
      </c>
      <c r="E43" s="476"/>
      <c r="F43" s="477">
        <f t="shared" si="6"/>
        <v>11.238</v>
      </c>
      <c r="G43" s="476"/>
      <c r="H43" s="477">
        <f t="shared" si="7"/>
        <v>3.7620000000000005</v>
      </c>
      <c r="I43" s="476"/>
      <c r="J43" s="477">
        <f t="shared" si="8"/>
        <v>15</v>
      </c>
      <c r="K43" s="476"/>
      <c r="L43" s="475">
        <v>4</v>
      </c>
    </row>
    <row r="44" spans="1:12" x14ac:dyDescent="0.25">
      <c r="A44" s="729"/>
      <c r="B44" s="473" t="s">
        <v>458</v>
      </c>
      <c r="C44" s="474" t="s">
        <v>440</v>
      </c>
      <c r="D44" s="475">
        <v>0</v>
      </c>
      <c r="E44" s="476"/>
      <c r="F44" s="477">
        <f t="shared" si="6"/>
        <v>0</v>
      </c>
      <c r="G44" s="476"/>
      <c r="H44" s="477">
        <f t="shared" si="7"/>
        <v>0</v>
      </c>
      <c r="I44" s="476"/>
      <c r="J44" s="477">
        <f t="shared" si="8"/>
        <v>0</v>
      </c>
      <c r="K44" s="476"/>
      <c r="L44" s="475">
        <v>0</v>
      </c>
    </row>
    <row r="45" spans="1:12" x14ac:dyDescent="0.25">
      <c r="A45" s="729"/>
      <c r="B45" s="469"/>
      <c r="D45" s="479">
        <f>SUM(D39:D44)</f>
        <v>2544</v>
      </c>
      <c r="E45" s="479"/>
      <c r="F45" s="479">
        <f>SUM(F39:F44)</f>
        <v>1905.9647999999997</v>
      </c>
      <c r="G45" s="479"/>
      <c r="H45" s="479">
        <f>SUM(H39:H44)</f>
        <v>638.03520000000003</v>
      </c>
      <c r="I45" s="479"/>
      <c r="J45" s="479">
        <f>SUM(J39:J44)</f>
        <v>2544</v>
      </c>
      <c r="K45" s="476"/>
      <c r="L45" s="479">
        <f>SUM(L39:L44)</f>
        <v>630</v>
      </c>
    </row>
    <row r="46" spans="1:12" x14ac:dyDescent="0.25">
      <c r="A46" s="457"/>
      <c r="B46" s="469"/>
    </row>
    <row r="47" spans="1:12" x14ac:dyDescent="0.25">
      <c r="A47" s="457"/>
      <c r="B47" s="469"/>
      <c r="D47" s="471"/>
      <c r="E47" s="472"/>
      <c r="F47" s="472"/>
      <c r="G47" s="472"/>
      <c r="H47" s="472"/>
      <c r="I47" s="472"/>
      <c r="J47" s="472"/>
      <c r="K47" s="472"/>
      <c r="L47" s="472"/>
    </row>
    <row r="48" spans="1:12" ht="17.45" customHeight="1" x14ac:dyDescent="0.25">
      <c r="A48" s="729" t="s">
        <v>459</v>
      </c>
      <c r="B48" s="469"/>
      <c r="D48" s="730" t="s">
        <v>424</v>
      </c>
      <c r="E48" s="461"/>
      <c r="F48" s="730" t="s">
        <v>425</v>
      </c>
      <c r="G48" s="461"/>
      <c r="H48" s="730" t="s">
        <v>426</v>
      </c>
      <c r="I48" s="461"/>
      <c r="J48" s="730" t="s">
        <v>427</v>
      </c>
      <c r="K48" s="461"/>
      <c r="L48" s="730" t="s">
        <v>428</v>
      </c>
    </row>
    <row r="49" spans="1:12" x14ac:dyDescent="0.25">
      <c r="A49" s="729"/>
      <c r="B49" s="469"/>
      <c r="D49" s="730"/>
      <c r="E49" s="461"/>
      <c r="F49" s="730"/>
      <c r="G49" s="461"/>
      <c r="H49" s="730"/>
      <c r="I49" s="461"/>
      <c r="J49" s="730"/>
      <c r="K49" s="461"/>
      <c r="L49" s="731"/>
    </row>
    <row r="50" spans="1:12" x14ac:dyDescent="0.25">
      <c r="A50" s="729"/>
      <c r="B50" s="473" t="s">
        <v>460</v>
      </c>
      <c r="C50" s="474" t="s">
        <v>430</v>
      </c>
      <c r="D50" s="475">
        <v>0</v>
      </c>
      <c r="E50" s="476"/>
      <c r="F50" s="477">
        <f>+D50*$B$6</f>
        <v>0</v>
      </c>
      <c r="G50" s="476"/>
      <c r="H50" s="477">
        <f>+D50*$B$7</f>
        <v>0</v>
      </c>
      <c r="I50" s="476"/>
      <c r="J50" s="477">
        <f>+F50+H50</f>
        <v>0</v>
      </c>
      <c r="K50" s="476"/>
      <c r="L50" s="475">
        <v>0</v>
      </c>
    </row>
    <row r="51" spans="1:12" x14ac:dyDescent="0.25">
      <c r="A51" s="729"/>
      <c r="B51" s="473" t="s">
        <v>461</v>
      </c>
      <c r="C51" s="474" t="s">
        <v>432</v>
      </c>
      <c r="D51" s="475">
        <v>0</v>
      </c>
      <c r="E51" s="476"/>
      <c r="F51" s="477">
        <f t="shared" ref="F51:F55" si="9">+D51*$B$6</f>
        <v>0</v>
      </c>
      <c r="G51" s="476"/>
      <c r="H51" s="477">
        <f t="shared" ref="H51:H55" si="10">+D51*$B$7</f>
        <v>0</v>
      </c>
      <c r="I51" s="476"/>
      <c r="J51" s="477">
        <f t="shared" ref="J51:J55" si="11">+F51+H51</f>
        <v>0</v>
      </c>
      <c r="K51" s="476"/>
      <c r="L51" s="475">
        <v>0</v>
      </c>
    </row>
    <row r="52" spans="1:12" x14ac:dyDescent="0.25">
      <c r="A52" s="729"/>
      <c r="B52" s="473" t="s">
        <v>462</v>
      </c>
      <c r="C52" s="474" t="s">
        <v>434</v>
      </c>
      <c r="D52" s="475">
        <v>0</v>
      </c>
      <c r="E52" s="476"/>
      <c r="F52" s="477">
        <f t="shared" si="9"/>
        <v>0</v>
      </c>
      <c r="G52" s="476"/>
      <c r="H52" s="477">
        <f t="shared" si="10"/>
        <v>0</v>
      </c>
      <c r="I52" s="476"/>
      <c r="J52" s="477">
        <f t="shared" si="11"/>
        <v>0</v>
      </c>
      <c r="K52" s="476"/>
      <c r="L52" s="475">
        <v>0</v>
      </c>
    </row>
    <row r="53" spans="1:12" x14ac:dyDescent="0.25">
      <c r="A53" s="729"/>
      <c r="B53" s="473" t="s">
        <v>463</v>
      </c>
      <c r="C53" s="474" t="s">
        <v>436</v>
      </c>
      <c r="D53" s="475">
        <v>0</v>
      </c>
      <c r="E53" s="476"/>
      <c r="F53" s="477">
        <f t="shared" si="9"/>
        <v>0</v>
      </c>
      <c r="G53" s="476"/>
      <c r="H53" s="477">
        <f t="shared" si="10"/>
        <v>0</v>
      </c>
      <c r="I53" s="476"/>
      <c r="J53" s="477">
        <f t="shared" si="11"/>
        <v>0</v>
      </c>
      <c r="K53" s="476"/>
      <c r="L53" s="475">
        <v>0</v>
      </c>
    </row>
    <row r="54" spans="1:12" x14ac:dyDescent="0.25">
      <c r="A54" s="729"/>
      <c r="B54" s="473" t="s">
        <v>464</v>
      </c>
      <c r="C54" s="474" t="s">
        <v>438</v>
      </c>
      <c r="D54" s="475">
        <v>0</v>
      </c>
      <c r="E54" s="476"/>
      <c r="F54" s="477">
        <f t="shared" si="9"/>
        <v>0</v>
      </c>
      <c r="G54" s="476"/>
      <c r="H54" s="477">
        <f t="shared" si="10"/>
        <v>0</v>
      </c>
      <c r="I54" s="476"/>
      <c r="J54" s="477">
        <f t="shared" si="11"/>
        <v>0</v>
      </c>
      <c r="K54" s="476"/>
      <c r="L54" s="475">
        <v>0</v>
      </c>
    </row>
    <row r="55" spans="1:12" x14ac:dyDescent="0.25">
      <c r="A55" s="729"/>
      <c r="B55" s="473" t="s">
        <v>465</v>
      </c>
      <c r="C55" s="474" t="s">
        <v>440</v>
      </c>
      <c r="D55" s="475">
        <v>0</v>
      </c>
      <c r="E55" s="476"/>
      <c r="F55" s="477">
        <f t="shared" si="9"/>
        <v>0</v>
      </c>
      <c r="G55" s="476"/>
      <c r="H55" s="477">
        <f t="shared" si="10"/>
        <v>0</v>
      </c>
      <c r="I55" s="476"/>
      <c r="J55" s="477">
        <f t="shared" si="11"/>
        <v>0</v>
      </c>
      <c r="K55" s="476"/>
      <c r="L55" s="475">
        <v>0</v>
      </c>
    </row>
    <row r="56" spans="1:12" x14ac:dyDescent="0.25">
      <c r="A56" s="729"/>
      <c r="B56" s="469"/>
      <c r="D56" s="479">
        <f>SUM(D50:D55)</f>
        <v>0</v>
      </c>
      <c r="E56" s="479"/>
      <c r="F56" s="479">
        <f>SUM(F50:F55)</f>
        <v>0</v>
      </c>
      <c r="G56" s="479"/>
      <c r="H56" s="479">
        <f>SUM(H50:H55)</f>
        <v>0</v>
      </c>
      <c r="I56" s="479"/>
      <c r="J56" s="479">
        <f>SUM(J50:J55)</f>
        <v>0</v>
      </c>
      <c r="K56" s="476"/>
      <c r="L56" s="479">
        <f>SUM(L50:L55)</f>
        <v>0</v>
      </c>
    </row>
    <row r="57" spans="1:12" x14ac:dyDescent="0.25">
      <c r="A57" s="482"/>
      <c r="B57" s="469"/>
      <c r="D57" s="479"/>
      <c r="E57" s="479"/>
      <c r="F57" s="479"/>
      <c r="G57" s="479"/>
      <c r="H57" s="479"/>
      <c r="I57" s="479"/>
      <c r="J57" s="479"/>
      <c r="K57" s="476"/>
      <c r="L57" s="479"/>
    </row>
    <row r="58" spans="1:12" x14ac:dyDescent="0.25">
      <c r="A58" s="457"/>
      <c r="B58" s="469"/>
      <c r="C58" s="480" t="s">
        <v>466</v>
      </c>
      <c r="D58" s="479">
        <f>ROUND(D45+D56,0)</f>
        <v>2544</v>
      </c>
      <c r="E58" s="479"/>
      <c r="F58" s="479">
        <f>ROUND(F45+F56,0)</f>
        <v>1906</v>
      </c>
      <c r="G58" s="479"/>
      <c r="H58" s="479">
        <f>ROUND(H45+H56,0)</f>
        <v>638</v>
      </c>
      <c r="I58" s="479"/>
      <c r="J58" s="479">
        <f>ROUND(J45+J56,0)</f>
        <v>2544</v>
      </c>
      <c r="K58" s="476"/>
      <c r="L58" s="479">
        <f>ROUND(L45+L56,0)</f>
        <v>630</v>
      </c>
    </row>
    <row r="59" spans="1:12" x14ac:dyDescent="0.25">
      <c r="A59" s="457"/>
      <c r="B59" s="469"/>
      <c r="C59" s="480"/>
      <c r="D59" s="479"/>
      <c r="E59" s="479"/>
      <c r="F59" s="479"/>
      <c r="G59" s="479"/>
      <c r="H59" s="479"/>
      <c r="I59" s="479"/>
      <c r="J59" s="479"/>
      <c r="K59" s="476"/>
      <c r="L59" s="479"/>
    </row>
    <row r="60" spans="1:12" ht="17.45" customHeight="1" x14ac:dyDescent="0.25">
      <c r="A60" s="729" t="s">
        <v>467</v>
      </c>
      <c r="B60" s="469"/>
      <c r="D60" s="730" t="s">
        <v>424</v>
      </c>
      <c r="E60" s="461"/>
      <c r="F60" s="730" t="s">
        <v>425</v>
      </c>
      <c r="G60" s="461"/>
      <c r="H60" s="730" t="s">
        <v>426</v>
      </c>
      <c r="I60" s="461"/>
      <c r="J60" s="730" t="s">
        <v>427</v>
      </c>
      <c r="K60" s="461"/>
      <c r="L60" s="730" t="s">
        <v>428</v>
      </c>
    </row>
    <row r="61" spans="1:12" x14ac:dyDescent="0.25">
      <c r="A61" s="729"/>
      <c r="B61" s="469"/>
      <c r="D61" s="730"/>
      <c r="E61" s="461"/>
      <c r="F61" s="730"/>
      <c r="G61" s="461"/>
      <c r="H61" s="730"/>
      <c r="I61" s="461"/>
      <c r="J61" s="730"/>
      <c r="K61" s="461"/>
      <c r="L61" s="731"/>
    </row>
    <row r="62" spans="1:12" x14ac:dyDescent="0.25">
      <c r="A62" s="729"/>
      <c r="B62" s="473" t="s">
        <v>468</v>
      </c>
      <c r="C62" s="474" t="s">
        <v>430</v>
      </c>
      <c r="D62" s="477">
        <f t="shared" ref="D62:D67" si="12">ROUND(D39+D14,0)</f>
        <v>3315</v>
      </c>
      <c r="E62" s="476"/>
      <c r="F62" s="477">
        <f t="shared" ref="F62:F67" si="13">+F14+F39</f>
        <v>2483.3507639999998</v>
      </c>
      <c r="G62" s="476"/>
      <c r="H62" s="477">
        <f t="shared" ref="H62:H67" si="14">+H14+H39</f>
        <v>831.31923600000005</v>
      </c>
      <c r="I62" s="476"/>
      <c r="J62" s="477">
        <f t="shared" ref="J62:J67" si="15">ROUND(F62+H62,0)</f>
        <v>3315</v>
      </c>
      <c r="K62" s="476"/>
      <c r="L62" s="477">
        <f t="shared" ref="L62:L67" si="16">+L14+L39</f>
        <v>2565.33</v>
      </c>
    </row>
    <row r="63" spans="1:12" x14ac:dyDescent="0.25">
      <c r="A63" s="729"/>
      <c r="B63" s="473" t="s">
        <v>469</v>
      </c>
      <c r="C63" s="474" t="s">
        <v>432</v>
      </c>
      <c r="D63" s="477">
        <f t="shared" si="12"/>
        <v>620</v>
      </c>
      <c r="E63" s="476"/>
      <c r="F63" s="477">
        <f t="shared" si="13"/>
        <v>464.13689199999999</v>
      </c>
      <c r="G63" s="476"/>
      <c r="H63" s="477">
        <f t="shared" si="14"/>
        <v>155.373108</v>
      </c>
      <c r="I63" s="476"/>
      <c r="J63" s="477">
        <f t="shared" si="15"/>
        <v>620</v>
      </c>
      <c r="K63" s="476"/>
      <c r="L63" s="477">
        <f t="shared" si="16"/>
        <v>551.49</v>
      </c>
    </row>
    <row r="64" spans="1:12" x14ac:dyDescent="0.25">
      <c r="A64" s="729"/>
      <c r="B64" s="473" t="s">
        <v>470</v>
      </c>
      <c r="C64" s="474" t="s">
        <v>434</v>
      </c>
      <c r="D64" s="477">
        <f t="shared" si="12"/>
        <v>1239</v>
      </c>
      <c r="E64" s="476"/>
      <c r="F64" s="477">
        <f t="shared" si="13"/>
        <v>928.3262279999999</v>
      </c>
      <c r="G64" s="476"/>
      <c r="H64" s="477">
        <f t="shared" si="14"/>
        <v>310.76377200000002</v>
      </c>
      <c r="I64" s="476"/>
      <c r="J64" s="477">
        <f t="shared" si="15"/>
        <v>1239</v>
      </c>
      <c r="K64" s="476"/>
      <c r="L64" s="477">
        <f t="shared" si="16"/>
        <v>676.91</v>
      </c>
    </row>
    <row r="65" spans="1:12" x14ac:dyDescent="0.25">
      <c r="A65" s="729"/>
      <c r="B65" s="473" t="s">
        <v>471</v>
      </c>
      <c r="C65" s="474" t="s">
        <v>436</v>
      </c>
      <c r="D65" s="477">
        <f t="shared" si="12"/>
        <v>798</v>
      </c>
      <c r="E65" s="476"/>
      <c r="F65" s="477">
        <f t="shared" si="13"/>
        <v>597.98896400000001</v>
      </c>
      <c r="G65" s="476"/>
      <c r="H65" s="477">
        <f t="shared" si="14"/>
        <v>200.18103600000001</v>
      </c>
      <c r="I65" s="476"/>
      <c r="J65" s="477">
        <f t="shared" si="15"/>
        <v>798</v>
      </c>
      <c r="K65" s="476"/>
      <c r="L65" s="477">
        <f t="shared" si="16"/>
        <v>804.83</v>
      </c>
    </row>
    <row r="66" spans="1:12" x14ac:dyDescent="0.25">
      <c r="A66" s="729"/>
      <c r="B66" s="473" t="s">
        <v>472</v>
      </c>
      <c r="C66" s="474" t="s">
        <v>438</v>
      </c>
      <c r="D66" s="477">
        <f t="shared" si="12"/>
        <v>183</v>
      </c>
      <c r="E66" s="476"/>
      <c r="F66" s="477">
        <f t="shared" si="13"/>
        <v>137.1036</v>
      </c>
      <c r="G66" s="476"/>
      <c r="H66" s="477">
        <f t="shared" si="14"/>
        <v>45.896400000000007</v>
      </c>
      <c r="I66" s="476"/>
      <c r="J66" s="477">
        <f t="shared" si="15"/>
        <v>183</v>
      </c>
      <c r="K66" s="476"/>
      <c r="L66" s="477">
        <f t="shared" si="16"/>
        <v>274</v>
      </c>
    </row>
    <row r="67" spans="1:12" x14ac:dyDescent="0.25">
      <c r="A67" s="729"/>
      <c r="B67" s="473" t="s">
        <v>473</v>
      </c>
      <c r="C67" s="474" t="s">
        <v>440</v>
      </c>
      <c r="D67" s="477">
        <f t="shared" si="12"/>
        <v>26</v>
      </c>
      <c r="E67" s="476"/>
      <c r="F67" s="477">
        <f t="shared" si="13"/>
        <v>19.659007999999996</v>
      </c>
      <c r="G67" s="476"/>
      <c r="H67" s="477">
        <f t="shared" si="14"/>
        <v>6.5809920000000002</v>
      </c>
      <c r="I67" s="476"/>
      <c r="J67" s="477">
        <f t="shared" si="15"/>
        <v>26</v>
      </c>
      <c r="K67" s="476"/>
      <c r="L67" s="477">
        <f t="shared" si="16"/>
        <v>84.76</v>
      </c>
    </row>
    <row r="68" spans="1:12" x14ac:dyDescent="0.25">
      <c r="A68" s="729"/>
      <c r="B68" s="469"/>
      <c r="D68" s="479">
        <f>SUM(D62:D67)</f>
        <v>6181</v>
      </c>
      <c r="E68" s="479"/>
      <c r="F68" s="479">
        <f>SUM(F62:F67)</f>
        <v>4630.5654559999994</v>
      </c>
      <c r="G68" s="479"/>
      <c r="H68" s="479">
        <f>SUM(H62:H67)</f>
        <v>1550.114544</v>
      </c>
      <c r="I68" s="479"/>
      <c r="J68" s="479">
        <f>SUM(J62:J67)</f>
        <v>6181</v>
      </c>
      <c r="K68" s="476"/>
      <c r="L68" s="479">
        <f>SUM(L62:L67)</f>
        <v>4957.32</v>
      </c>
    </row>
    <row r="69" spans="1:12" x14ac:dyDescent="0.25">
      <c r="A69" s="457"/>
      <c r="B69" s="469"/>
    </row>
    <row r="70" spans="1:12" x14ac:dyDescent="0.25">
      <c r="A70" s="457"/>
      <c r="B70" s="469"/>
    </row>
    <row r="71" spans="1:12" ht="17.45" customHeight="1" x14ac:dyDescent="0.25">
      <c r="A71" s="729" t="s">
        <v>474</v>
      </c>
      <c r="B71" s="469"/>
      <c r="D71" s="730" t="s">
        <v>424</v>
      </c>
      <c r="E71" s="461"/>
      <c r="F71" s="730" t="s">
        <v>425</v>
      </c>
      <c r="G71" s="461"/>
      <c r="H71" s="730" t="s">
        <v>426</v>
      </c>
      <c r="I71" s="461"/>
      <c r="J71" s="730" t="s">
        <v>427</v>
      </c>
      <c r="K71" s="461"/>
      <c r="L71" s="730" t="s">
        <v>428</v>
      </c>
    </row>
    <row r="72" spans="1:12" x14ac:dyDescent="0.25">
      <c r="A72" s="729"/>
      <c r="B72" s="469"/>
      <c r="D72" s="730"/>
      <c r="E72" s="461"/>
      <c r="F72" s="730"/>
      <c r="G72" s="461"/>
      <c r="H72" s="730"/>
      <c r="I72" s="461"/>
      <c r="J72" s="730"/>
      <c r="K72" s="461"/>
      <c r="L72" s="731"/>
    </row>
    <row r="73" spans="1:12" x14ac:dyDescent="0.25">
      <c r="A73" s="729"/>
      <c r="B73" s="473" t="s">
        <v>475</v>
      </c>
      <c r="C73" s="474" t="s">
        <v>430</v>
      </c>
      <c r="D73" s="477">
        <f t="shared" ref="D73:D78" si="17">+D26+D50</f>
        <v>672.02</v>
      </c>
      <c r="E73" s="476"/>
      <c r="F73" s="477">
        <f t="shared" ref="F73:F78" si="18">+F26+F50</f>
        <v>503.47738399999997</v>
      </c>
      <c r="G73" s="476"/>
      <c r="H73" s="477">
        <f t="shared" ref="H73:H78" si="19">+H26+H50</f>
        <v>168.54261600000001</v>
      </c>
      <c r="I73" s="476"/>
      <c r="J73" s="477">
        <f t="shared" ref="J73:J78" si="20">ROUND(F73+H73,0)</f>
        <v>672</v>
      </c>
      <c r="K73" s="476"/>
      <c r="L73" s="477">
        <f t="shared" ref="L73:L78" si="21">+L26+L50</f>
        <v>1503.98</v>
      </c>
    </row>
    <row r="74" spans="1:12" x14ac:dyDescent="0.25">
      <c r="A74" s="729"/>
      <c r="B74" s="473" t="s">
        <v>476</v>
      </c>
      <c r="C74" s="474" t="s">
        <v>432</v>
      </c>
      <c r="D74" s="477">
        <f t="shared" si="17"/>
        <v>21.62</v>
      </c>
      <c r="E74" s="476"/>
      <c r="F74" s="477">
        <f t="shared" si="18"/>
        <v>16.197704000000002</v>
      </c>
      <c r="G74" s="476"/>
      <c r="H74" s="477">
        <f t="shared" si="19"/>
        <v>5.4222960000000011</v>
      </c>
      <c r="I74" s="476"/>
      <c r="J74" s="477">
        <f t="shared" si="20"/>
        <v>22</v>
      </c>
      <c r="K74" s="476"/>
      <c r="L74" s="477">
        <f t="shared" si="21"/>
        <v>39.380000000000003</v>
      </c>
    </row>
    <row r="75" spans="1:12" x14ac:dyDescent="0.25">
      <c r="A75" s="729"/>
      <c r="B75" s="473" t="s">
        <v>477</v>
      </c>
      <c r="C75" s="474" t="s">
        <v>434</v>
      </c>
      <c r="D75" s="477">
        <f t="shared" si="17"/>
        <v>76.45</v>
      </c>
      <c r="E75" s="476"/>
      <c r="F75" s="477">
        <f t="shared" si="18"/>
        <v>57.276339999999998</v>
      </c>
      <c r="G75" s="476"/>
      <c r="H75" s="477">
        <f t="shared" si="19"/>
        <v>19.173660000000002</v>
      </c>
      <c r="I75" s="476"/>
      <c r="J75" s="477">
        <f t="shared" si="20"/>
        <v>76</v>
      </c>
      <c r="K75" s="476"/>
      <c r="L75" s="477">
        <f t="shared" si="21"/>
        <v>126.55</v>
      </c>
    </row>
    <row r="76" spans="1:12" x14ac:dyDescent="0.25">
      <c r="A76" s="729"/>
      <c r="B76" s="473" t="s">
        <v>478</v>
      </c>
      <c r="C76" s="474" t="s">
        <v>436</v>
      </c>
      <c r="D76" s="477">
        <f t="shared" si="17"/>
        <v>35.24</v>
      </c>
      <c r="E76" s="476"/>
      <c r="F76" s="477">
        <f t="shared" si="18"/>
        <v>26.401807999999999</v>
      </c>
      <c r="G76" s="476"/>
      <c r="H76" s="477">
        <f t="shared" si="19"/>
        <v>8.8381920000000012</v>
      </c>
      <c r="I76" s="476"/>
      <c r="J76" s="477">
        <f t="shared" si="20"/>
        <v>35</v>
      </c>
      <c r="K76" s="476"/>
      <c r="L76" s="477">
        <f t="shared" si="21"/>
        <v>67.759999999999991</v>
      </c>
    </row>
    <row r="77" spans="1:12" x14ac:dyDescent="0.25">
      <c r="A77" s="729"/>
      <c r="B77" s="473" t="s">
        <v>479</v>
      </c>
      <c r="C77" s="474" t="s">
        <v>438</v>
      </c>
      <c r="D77" s="477">
        <f t="shared" si="17"/>
        <v>63</v>
      </c>
      <c r="E77" s="476"/>
      <c r="F77" s="477">
        <f t="shared" si="18"/>
        <v>47.199599999999997</v>
      </c>
      <c r="G77" s="476"/>
      <c r="H77" s="477">
        <f t="shared" si="19"/>
        <v>15.800400000000002</v>
      </c>
      <c r="I77" s="476"/>
      <c r="J77" s="477">
        <f t="shared" si="20"/>
        <v>63</v>
      </c>
      <c r="K77" s="476"/>
      <c r="L77" s="477">
        <f t="shared" si="21"/>
        <v>114</v>
      </c>
    </row>
    <row r="78" spans="1:12" x14ac:dyDescent="0.25">
      <c r="A78" s="729"/>
      <c r="B78" s="473" t="s">
        <v>480</v>
      </c>
      <c r="C78" s="474" t="s">
        <v>440</v>
      </c>
      <c r="D78" s="477">
        <f t="shared" si="17"/>
        <v>141.28</v>
      </c>
      <c r="E78" s="476"/>
      <c r="F78" s="477">
        <f t="shared" si="18"/>
        <v>105.846976</v>
      </c>
      <c r="G78" s="476"/>
      <c r="H78" s="477">
        <f t="shared" si="19"/>
        <v>35.433024000000003</v>
      </c>
      <c r="I78" s="476"/>
      <c r="J78" s="477">
        <f t="shared" si="20"/>
        <v>141</v>
      </c>
      <c r="K78" s="476"/>
      <c r="L78" s="477">
        <f t="shared" si="21"/>
        <v>369.72</v>
      </c>
    </row>
    <row r="79" spans="1:12" x14ac:dyDescent="0.25">
      <c r="A79" s="729"/>
      <c r="B79" s="469"/>
      <c r="D79" s="479">
        <f>SUM(D73:D78)</f>
        <v>1009.61</v>
      </c>
      <c r="E79" s="479"/>
      <c r="F79" s="479">
        <f>SUM(F73:F78)</f>
        <v>756.399812</v>
      </c>
      <c r="G79" s="479"/>
      <c r="H79" s="479">
        <f>SUM(H73:H78)</f>
        <v>253.21018800000002</v>
      </c>
      <c r="I79" s="479"/>
      <c r="J79" s="479">
        <f>SUM(J73:J78)</f>
        <v>1009</v>
      </c>
      <c r="K79" s="476"/>
      <c r="L79" s="479">
        <f>SUM(L73:L78)</f>
        <v>2221.3900000000003</v>
      </c>
    </row>
    <row r="80" spans="1:12" x14ac:dyDescent="0.25">
      <c r="A80" s="457"/>
      <c r="B80" s="469"/>
    </row>
    <row r="81" spans="1:12" ht="21" customHeight="1" x14ac:dyDescent="0.25">
      <c r="A81" s="457"/>
      <c r="B81" s="469"/>
      <c r="D81" s="471"/>
      <c r="E81" s="472"/>
      <c r="F81" s="472"/>
      <c r="G81" s="472"/>
      <c r="H81" s="472"/>
      <c r="I81" s="472"/>
      <c r="J81" s="472"/>
      <c r="K81" s="472"/>
      <c r="L81" s="472"/>
    </row>
    <row r="82" spans="1:12" ht="18" customHeight="1" x14ac:dyDescent="0.25">
      <c r="A82" s="729" t="s">
        <v>481</v>
      </c>
      <c r="B82" s="469"/>
      <c r="D82" s="730" t="s">
        <v>424</v>
      </c>
      <c r="E82" s="461"/>
      <c r="F82" s="730" t="s">
        <v>425</v>
      </c>
      <c r="G82" s="461"/>
      <c r="H82" s="730" t="s">
        <v>426</v>
      </c>
      <c r="I82" s="461"/>
      <c r="J82" s="730" t="s">
        <v>427</v>
      </c>
      <c r="K82" s="461"/>
      <c r="L82" s="730" t="s">
        <v>428</v>
      </c>
    </row>
    <row r="83" spans="1:12" x14ac:dyDescent="0.25">
      <c r="A83" s="729"/>
      <c r="B83" s="469"/>
      <c r="D83" s="730"/>
      <c r="E83" s="461"/>
      <c r="F83" s="730"/>
      <c r="G83" s="461"/>
      <c r="H83" s="730"/>
      <c r="I83" s="461"/>
      <c r="J83" s="730"/>
      <c r="K83" s="461"/>
      <c r="L83" s="731"/>
    </row>
    <row r="84" spans="1:12" x14ac:dyDescent="0.25">
      <c r="A84" s="729"/>
      <c r="B84" s="473" t="s">
        <v>482</v>
      </c>
      <c r="C84" s="474" t="s">
        <v>430</v>
      </c>
      <c r="D84" s="477">
        <f t="shared" ref="D84:D89" si="22">+D62+D73</f>
        <v>3987.02</v>
      </c>
      <c r="E84" s="476"/>
      <c r="F84" s="477">
        <f>+F62+F73</f>
        <v>2986.8281479999996</v>
      </c>
      <c r="G84" s="476"/>
      <c r="H84" s="477">
        <f t="shared" ref="H84:H89" si="23">+H62+H73</f>
        <v>999.861852</v>
      </c>
      <c r="I84" s="476"/>
      <c r="J84" s="477">
        <f t="shared" ref="J84:J89" si="24">ROUND(F84+H84,0)</f>
        <v>3987</v>
      </c>
      <c r="K84" s="476"/>
      <c r="L84" s="477">
        <f t="shared" ref="L84:L89" si="25">+L62+L73</f>
        <v>4069.31</v>
      </c>
    </row>
    <row r="85" spans="1:12" x14ac:dyDescent="0.25">
      <c r="A85" s="729"/>
      <c r="B85" s="473" t="s">
        <v>483</v>
      </c>
      <c r="C85" s="474" t="s">
        <v>432</v>
      </c>
      <c r="D85" s="477">
        <f t="shared" si="22"/>
        <v>641.62</v>
      </c>
      <c r="E85" s="476"/>
      <c r="F85" s="477">
        <f t="shared" ref="F85:F89" si="26">+F63+F74</f>
        <v>480.33459599999998</v>
      </c>
      <c r="G85" s="476"/>
      <c r="H85" s="477">
        <f t="shared" si="23"/>
        <v>160.79540399999999</v>
      </c>
      <c r="I85" s="476"/>
      <c r="J85" s="477">
        <f t="shared" si="24"/>
        <v>641</v>
      </c>
      <c r="K85" s="476"/>
      <c r="L85" s="477">
        <f t="shared" si="25"/>
        <v>590.87</v>
      </c>
    </row>
    <row r="86" spans="1:12" x14ac:dyDescent="0.25">
      <c r="A86" s="729"/>
      <c r="B86" s="473" t="s">
        <v>484</v>
      </c>
      <c r="C86" s="474" t="s">
        <v>434</v>
      </c>
      <c r="D86" s="477">
        <f t="shared" si="22"/>
        <v>1315.45</v>
      </c>
      <c r="E86" s="476"/>
      <c r="F86" s="477">
        <f t="shared" si="26"/>
        <v>985.60256799999991</v>
      </c>
      <c r="G86" s="476"/>
      <c r="H86" s="477">
        <f t="shared" si="23"/>
        <v>329.937432</v>
      </c>
      <c r="I86" s="476"/>
      <c r="J86" s="477">
        <f t="shared" si="24"/>
        <v>1316</v>
      </c>
      <c r="K86" s="476"/>
      <c r="L86" s="477">
        <f t="shared" si="25"/>
        <v>803.45999999999992</v>
      </c>
    </row>
    <row r="87" spans="1:12" x14ac:dyDescent="0.25">
      <c r="A87" s="729"/>
      <c r="B87" s="473" t="s">
        <v>485</v>
      </c>
      <c r="C87" s="474" t="s">
        <v>436</v>
      </c>
      <c r="D87" s="477">
        <f t="shared" si="22"/>
        <v>833.24</v>
      </c>
      <c r="E87" s="476"/>
      <c r="F87" s="477">
        <f t="shared" si="26"/>
        <v>624.39077199999997</v>
      </c>
      <c r="G87" s="476"/>
      <c r="H87" s="477">
        <f t="shared" si="23"/>
        <v>209.019228</v>
      </c>
      <c r="I87" s="476"/>
      <c r="J87" s="477">
        <f t="shared" si="24"/>
        <v>833</v>
      </c>
      <c r="K87" s="476"/>
      <c r="L87" s="477">
        <f t="shared" si="25"/>
        <v>872.59</v>
      </c>
    </row>
    <row r="88" spans="1:12" x14ac:dyDescent="0.25">
      <c r="A88" s="729"/>
      <c r="B88" s="473" t="s">
        <v>486</v>
      </c>
      <c r="C88" s="474" t="s">
        <v>438</v>
      </c>
      <c r="D88" s="477">
        <f t="shared" si="22"/>
        <v>246</v>
      </c>
      <c r="E88" s="476"/>
      <c r="F88" s="477">
        <f t="shared" si="26"/>
        <v>184.3032</v>
      </c>
      <c r="G88" s="476"/>
      <c r="H88" s="477">
        <f t="shared" si="23"/>
        <v>61.69680000000001</v>
      </c>
      <c r="I88" s="476"/>
      <c r="J88" s="477">
        <f t="shared" si="24"/>
        <v>246</v>
      </c>
      <c r="K88" s="476"/>
      <c r="L88" s="477">
        <f t="shared" si="25"/>
        <v>388</v>
      </c>
    </row>
    <row r="89" spans="1:12" x14ac:dyDescent="0.25">
      <c r="A89" s="729"/>
      <c r="B89" s="473" t="s">
        <v>487</v>
      </c>
      <c r="C89" s="474" t="s">
        <v>440</v>
      </c>
      <c r="D89" s="477">
        <f t="shared" si="22"/>
        <v>167.28</v>
      </c>
      <c r="E89" s="476"/>
      <c r="F89" s="477">
        <f t="shared" si="26"/>
        <v>125.505984</v>
      </c>
      <c r="G89" s="476"/>
      <c r="H89" s="477">
        <f t="shared" si="23"/>
        <v>42.014016000000005</v>
      </c>
      <c r="I89" s="476"/>
      <c r="J89" s="477">
        <f t="shared" si="24"/>
        <v>168</v>
      </c>
      <c r="K89" s="476"/>
      <c r="L89" s="477">
        <f t="shared" si="25"/>
        <v>454.48</v>
      </c>
    </row>
    <row r="90" spans="1:12" x14ac:dyDescent="0.25">
      <c r="A90" s="729"/>
      <c r="B90" s="469"/>
    </row>
    <row r="91" spans="1:12" x14ac:dyDescent="0.25">
      <c r="A91" s="457"/>
      <c r="C91" s="483" t="s">
        <v>488</v>
      </c>
      <c r="D91" s="479">
        <f>SUM(D84:D89)</f>
        <v>7190.61</v>
      </c>
      <c r="E91" s="479"/>
      <c r="F91" s="479">
        <f>SUM(F84:F89)</f>
        <v>5386.9652679999999</v>
      </c>
      <c r="G91" s="479"/>
      <c r="H91" s="479">
        <f>SUM(H84:H89)</f>
        <v>1803.3247319999998</v>
      </c>
      <c r="I91" s="479"/>
      <c r="J91" s="479">
        <f>SUM(J84:J89)</f>
        <v>7191</v>
      </c>
      <c r="K91" s="476"/>
      <c r="L91" s="479">
        <f>SUM(L84:L89)</f>
        <v>7178.7100000000009</v>
      </c>
    </row>
    <row r="92" spans="1:12" x14ac:dyDescent="0.25">
      <c r="A92" s="457"/>
      <c r="D92" s="479"/>
      <c r="E92" s="479"/>
      <c r="F92" s="479"/>
      <c r="G92" s="479"/>
      <c r="H92" s="479"/>
      <c r="I92" s="479"/>
      <c r="J92" s="479"/>
      <c r="K92" s="476"/>
      <c r="L92" s="479"/>
    </row>
    <row r="93" spans="1:12" ht="20.25" x14ac:dyDescent="0.3">
      <c r="A93" s="457"/>
      <c r="C93" s="728" t="s">
        <v>489</v>
      </c>
      <c r="D93" s="728"/>
      <c r="F93" s="484">
        <f>+J91+L91</f>
        <v>14369.710000000001</v>
      </c>
    </row>
    <row r="94" spans="1:12" x14ac:dyDescent="0.25">
      <c r="A94" s="457"/>
    </row>
    <row r="95" spans="1:12" x14ac:dyDescent="0.25">
      <c r="A95" s="457"/>
    </row>
    <row r="96" spans="1:12" x14ac:dyDescent="0.25">
      <c r="A96" s="457"/>
    </row>
    <row r="97" spans="1:1" x14ac:dyDescent="0.25">
      <c r="A97" s="457"/>
    </row>
    <row r="98" spans="1:1" x14ac:dyDescent="0.25">
      <c r="A98" s="457"/>
    </row>
    <row r="99" spans="1:1" x14ac:dyDescent="0.25">
      <c r="A99" s="457"/>
    </row>
  </sheetData>
  <sheetProtection selectLockedCells="1"/>
  <mergeCells count="47">
    <mergeCell ref="A1:L1"/>
    <mergeCell ref="A3:B3"/>
    <mergeCell ref="C3:I3"/>
    <mergeCell ref="D6:I8"/>
    <mergeCell ref="A12:A20"/>
    <mergeCell ref="D12:D13"/>
    <mergeCell ref="F12:F13"/>
    <mergeCell ref="H12:H13"/>
    <mergeCell ref="J12:J13"/>
    <mergeCell ref="L12:L13"/>
    <mergeCell ref="L37:L38"/>
    <mergeCell ref="A24:A32"/>
    <mergeCell ref="D24:D25"/>
    <mergeCell ref="F24:F25"/>
    <mergeCell ref="H24:H25"/>
    <mergeCell ref="J24:J25"/>
    <mergeCell ref="L24:L25"/>
    <mergeCell ref="A37:A45"/>
    <mergeCell ref="D37:D38"/>
    <mergeCell ref="F37:F38"/>
    <mergeCell ref="H37:H38"/>
    <mergeCell ref="J37:J38"/>
    <mergeCell ref="L60:L61"/>
    <mergeCell ref="A48:A56"/>
    <mergeCell ref="D48:D49"/>
    <mergeCell ref="F48:F49"/>
    <mergeCell ref="H48:H49"/>
    <mergeCell ref="J48:J49"/>
    <mergeCell ref="L48:L49"/>
    <mergeCell ref="A60:A68"/>
    <mergeCell ref="D60:D61"/>
    <mergeCell ref="F60:F61"/>
    <mergeCell ref="H60:H61"/>
    <mergeCell ref="J60:J61"/>
    <mergeCell ref="J82:J83"/>
    <mergeCell ref="L82:L83"/>
    <mergeCell ref="A71:A79"/>
    <mergeCell ref="D71:D72"/>
    <mergeCell ref="F71:F72"/>
    <mergeCell ref="H71:H72"/>
    <mergeCell ref="J71:J72"/>
    <mergeCell ref="L71:L72"/>
    <mergeCell ref="C93:D93"/>
    <mergeCell ref="A82:A90"/>
    <mergeCell ref="D82:D83"/>
    <mergeCell ref="F82:F83"/>
    <mergeCell ref="H82:H83"/>
  </mergeCells>
  <pageMargins left="0.65" right="0.4" top="0.5" bottom="0.75" header="0.5" footer="0.5"/>
  <pageSetup paperSize="5" scale="56" orientation="portrait" cellComments="asDisplayed" r:id="rId1"/>
  <headerFooter alignWithMargins="0"/>
  <drawing r:id="rId2"/>
</worksheet>
</file>

<file path=docMetadata/LabelInfo.xml><?xml version="1.0" encoding="utf-8"?>
<clbl:labelList xmlns:clbl="http://schemas.microsoft.com/office/2020/mipLabelMetadata">
  <clbl:label id="{b19c134a-14c9-4d4c-af65-c420f94c8cbb}" enabled="0" method="" siteId="{b19c134a-14c9-4d4c-af65-c420f94c8cb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7</vt:i4>
      </vt:variant>
    </vt:vector>
  </HeadingPairs>
  <TitlesOfParts>
    <vt:vector size="21" baseType="lpstr">
      <vt:lpstr>INPUT SHEET FOR LAR</vt:lpstr>
      <vt:lpstr>Base Recon</vt:lpstr>
      <vt:lpstr>APS011 Sec I</vt:lpstr>
      <vt:lpstr>APS011 Sec II</vt:lpstr>
      <vt:lpstr>APS011 LocalFundsAdj</vt:lpstr>
      <vt:lpstr>Schedule 1A Checklist</vt:lpstr>
      <vt:lpstr>LAR Schedule 1A</vt:lpstr>
      <vt:lpstr>LAR Schedule 1B</vt:lpstr>
      <vt:lpstr>Schedule 3A, 3B, 3D</vt:lpstr>
      <vt:lpstr>HE-Schedule 4 Instructions</vt:lpstr>
      <vt:lpstr>HE - Schedule 4 OFFICIAL</vt:lpstr>
      <vt:lpstr>HE-Schedule 5 Instructions</vt:lpstr>
      <vt:lpstr>HE - Schedule 5 OFFICIAL</vt:lpstr>
      <vt:lpstr>Sch 7 LAR </vt:lpstr>
      <vt:lpstr>OtherGRD</vt:lpstr>
      <vt:lpstr>Permanent.Endowment.Fund</vt:lpstr>
      <vt:lpstr>'Base Recon'!Print_Area</vt:lpstr>
      <vt:lpstr>'LAR Schedule 1A'!Print_Area</vt:lpstr>
      <vt:lpstr>'LAR Schedule 1B'!Print_Area</vt:lpstr>
      <vt:lpstr>'Sch 7 LAR '!Print_Area</vt:lpstr>
      <vt:lpstr>'Schedule 3A, 3B, 3D'!Print_Area</vt:lpstr>
    </vt:vector>
  </TitlesOfParts>
  <Company>Texas A&amp;M Univeristy - Division of Finance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O'Neill, John J</dc:creator>
  <cp:lastModifiedBy>Edmonds, Anna</cp:lastModifiedBy>
  <cp:lastPrinted>2016-02-26T20:58:54Z</cp:lastPrinted>
  <dcterms:created xsi:type="dcterms:W3CDTF">2013-11-13T19:44:43Z</dcterms:created>
  <dcterms:modified xsi:type="dcterms:W3CDTF">2024-07-08T21:54:43Z</dcterms:modified>
</cp:coreProperties>
</file>